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★배출권정책지원부\2. 탄중설비 지원사업\2. 사업공고\2026\1차\"/>
    </mc:Choice>
  </mc:AlternateContent>
  <xr:revisionPtr revIDLastSave="0" documentId="13_ncr:1_{EFBED3B4-D790-4F38-B6C0-4BABDA7CFA8A}" xr6:coauthVersionLast="47" xr6:coauthVersionMax="47" xr10:uidLastSave="{00000000-0000-0000-0000-000000000000}"/>
  <bookViews>
    <workbookView xWindow="-120" yWindow="-120" windowWidth="29040" windowHeight="15840" tabRatio="929" activeTab="1" xr2:uid="{00000000-000D-0000-FFFF-FFFF00000000}"/>
  </bookViews>
  <sheets>
    <sheet name="작성방법" sheetId="17" r:id="rId1"/>
    <sheet name="설비 단위 계획서" sheetId="1" r:id="rId2"/>
    <sheet name="라. 신청 설비 명세" sheetId="11" r:id="rId3"/>
    <sheet name="&lt;산정tool&gt;보조금" sheetId="16" r:id="rId4"/>
    <sheet name="&lt;산정tool&gt;배출량,감축량" sheetId="14" r:id="rId5"/>
    <sheet name="&lt;산정tool&gt;투자회수기간" sheetId="15" r:id="rId6"/>
    <sheet name="바. 첨부서류" sheetId="13" r:id="rId7"/>
  </sheets>
  <externalReferences>
    <externalReference r:id="rId8"/>
    <externalReference r:id="rId9"/>
    <externalReference r:id="rId10"/>
    <externalReference r:id="rId11"/>
  </externalReferences>
  <definedNames>
    <definedName name="_Order1" hidden="1">255</definedName>
    <definedName name="_Order2" hidden="1">255</definedName>
    <definedName name="√">"SQRT"</definedName>
    <definedName name="AccessDatabase" hidden="1">"C:\생산판매\long98\9802장판원본.mdb"</definedName>
    <definedName name="AS2DocOpenMode" hidden="1">"AS2DocumentBrowse"</definedName>
    <definedName name="EF_Combustion_ALL">'&lt;산정tool&gt;배출량,감축량'!$BQ$8:$CH$95</definedName>
    <definedName name="EF_Combustion_mobile">'&lt;산정tool&gt;배출량,감축량'!$BQ$57:$CH$64</definedName>
    <definedName name="EF_Combustion1">'&lt;산정tool&gt;배출량,감축량'!$BQ$8:$CH$56</definedName>
    <definedName name="EF_Combustion2">'&lt;산정tool&gt;배출량,감축량'!$BQ$67:$CH$95</definedName>
    <definedName name="EF_Elec_CH4" hidden="1">[1]Parameter!$G$49</definedName>
    <definedName name="EF_Elec_CO2" hidden="1">[1]Parameter!$G$48</definedName>
    <definedName name="EF_Elec_N2O" hidden="1">[1]Parameter!$G$50</definedName>
    <definedName name="EF_Energy_stationary" hidden="1">[1]Parameter!$P$6:$AF$34</definedName>
    <definedName name="EF_Inciner_CH4_List" hidden="1">[2]GWP!#REF!</definedName>
    <definedName name="EF_Inciner_N2O_List" hidden="1">[2]GWP!#REF!</definedName>
    <definedName name="EF_Indirect">'&lt;산정tool&gt;배출량,감축량'!$BQ$65:$CH$66</definedName>
    <definedName name="EF_IWWater_CH4_List" hidden="1">[2]GWP!#REF!</definedName>
    <definedName name="EF_SWDS_MCF_List" hidden="1">[2]GWP!#REF!</definedName>
    <definedName name="EF_SWDS_OX_List" hidden="1">[2]GWP!#REF!</definedName>
    <definedName name="GWP_CH4" hidden="1">[3]Parameter!$F$59</definedName>
    <definedName name="GWP_CO2" hidden="1">[3]Parameter!$F$58</definedName>
    <definedName name="GWP_N2O" hidden="1">[3]Parameter!$F$60</definedName>
    <definedName name="OX" hidden="1">[1]Parameter!#REF!</definedName>
    <definedName name="Param_Indu" hidden="1">[4]Parameter!$F$18:$N$30</definedName>
    <definedName name="Param_MSW" hidden="1">[4]Parameter!$F$5:$N$17</definedName>
    <definedName name="_xlnm.Print_Area" localSheetId="2">'라. 신청 설비 명세'!$A$1:$L$37,'라. 신청 설비 명세'!$N$1:$X$35</definedName>
    <definedName name="_xlnm.Print_Area" localSheetId="6">'바. 첨부서류'!$A$1:$G$24</definedName>
    <definedName name="_xlnm.Print_Area" localSheetId="1">'설비 단위 계획서'!$A$1:$N$25</definedName>
    <definedName name="_xlnm.Print_Area" localSheetId="0">작성방법!$A$1:$AM$61</definedName>
    <definedName name="TextRefCopyRangeCount" hidden="1">4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1</definedName>
    <definedName name="UNI_RET_EVENT" hidden="1">4096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12" hidden="1">[1]Parameter!$A$58:$A$59</definedName>
    <definedName name="XREF_COLUMN_1" hidden="1">#REF!</definedName>
    <definedName name="XREF_COLUMN_2" hidden="1">#REF!</definedName>
    <definedName name="XRefColumnsCount" hidden="1">2</definedName>
    <definedName name="XRefPaste1" hidden="1">#REF!</definedName>
    <definedName name="XRefPaste2" hidden="1">#REF!</definedName>
    <definedName name="XRefPaste3" hidden="1">#REF!</definedName>
    <definedName name="XRefPasteRangeCount" hidden="1">3</definedName>
    <definedName name="간접배출">'&lt;산정tool&gt;배출량,감축량'!$BQ$163:$BQ$164</definedName>
    <definedName name="고체">'&lt;산정tool&gt;배출량,감축량'!$BQ$11:$BQ$13,'&lt;산정tool&gt;배출량,감축량'!$BQ$15:$BQ$18,'&lt;산정tool&gt;배출량,감축량'!$BQ$27,'&lt;산정tool&gt;배출량,감축량'!$BQ$30:$BQ$31,'&lt;산정tool&gt;배출량,감축량'!$BQ$38:$BQ$40,'&lt;산정tool&gt;배출량,감축량'!$BQ$44:$BQ$46,'&lt;산정tool&gt;배출량,감축량'!$BQ$50,'&lt;산정tool&gt;배출량,감축량'!$BQ$52,'&lt;산정tool&gt;배출량,감축량'!$BQ$54,'&lt;산정tool&gt;배출량,감축량'!$BQ$56,'&lt;산정tool&gt;배출량,감축량'!$BQ$79,'&lt;산정tool&gt;배출량,감축량'!$BQ$81,'&lt;산정tool&gt;배출량,감축량'!$BQ$87:$BQ$88,'&lt;산정tool&gt;배출량,감축량'!$BQ$90:$BQ$93</definedName>
    <definedName name="고체연료">'&lt;산정tool&gt;배출량,감축량'!$BQ$165:$BQ$188</definedName>
    <definedName name="고체연료연소">'&lt;산정tool&gt;배출량,감축량'!$CV$18:$CV$20</definedName>
    <definedName name="기업규모">'설비 단위 계획서'!$S$16</definedName>
    <definedName name="기체">'&lt;산정tool&gt;배출량,감축량'!$BQ$19:$BQ$20,'&lt;산정tool&gt;배출량,감축량'!$BQ$25:$BQ$26,'&lt;산정tool&gt;배출량,감축량'!$BQ$28:$BQ$29,'&lt;산정tool&gt;배출량,감축량'!$BQ$37,'&lt;산정tool&gt;배출량,감축량'!$BQ$41,'&lt;산정tool&gt;배출량,감축량'!$BQ$49,'&lt;산정tool&gt;배출량,감축량'!$BQ$51,'&lt;산정tool&gt;배출량,감축량'!$BQ$55,'&lt;산정tool&gt;배출량,감축량'!$BQ$59:$BQ$60,'&lt;산정tool&gt;배출량,감축량'!$BQ$74:$BQ$75,'&lt;산정tool&gt;배출량,감축량'!$BQ$84:$BQ$86</definedName>
    <definedName name="기체연료">'&lt;산정tool&gt;배출량,감축량'!$BQ$189:$BQ$199</definedName>
    <definedName name="기체연료연소">'&lt;산정tool&gt;배출량,감축량'!$CV$13:$CV$15</definedName>
    <definedName name="단위환산">'&lt;산정tool&gt;배출량,감축량'!$CV$8:$CY$31</definedName>
    <definedName name="배출권가격">'&lt;산정tool&gt;투자회수기간'!$J$1</definedName>
    <definedName name="사전할당_3기">OFFSET(Init_사전할당_3기,0,0,COUNTA(OFFSET(Init_사전할당_3기,0,0,65536,1)),40)</definedName>
    <definedName name="사전할당_3기_이의">OFFSET(Init_사전할당_3기_이의,0,0,COUNTA(OFFSET(Init_사전할당_3기_이의,0,0,65536,1)),61)</definedName>
    <definedName name="사전할당1단계">OFFSET(Init_사전할당1단계,0,0,COUNTA(OFFSET(Init_사전할당1단계,0,0,65536,1)),13)</definedName>
    <definedName name="성상_Indu" hidden="1">[4]Parameter!$F$18:$F$30</definedName>
    <definedName name="성상_MSW" hidden="1">[4]Parameter!$F$5:$F$17</definedName>
    <definedName name="액체">'&lt;산정tool&gt;배출량,감축량'!$BQ$8:$BQ$10,'&lt;산정tool&gt;배출량,감축량'!$BQ$14,'&lt;산정tool&gt;배출량,감축량'!$BQ$21:$BQ$24,'&lt;산정tool&gt;배출량,감축량'!$BQ$32:$BQ$36,'&lt;산정tool&gt;배출량,감축량'!$BQ$42:$BQ$43,'&lt;산정tool&gt;배출량,감축량'!$BQ$47,'&lt;산정tool&gt;배출량,감축량'!$BQ$53,'&lt;산정tool&gt;배출량,감축량'!$BQ$57:$BQ$58,'&lt;산정tool&gt;배출량,감축량'!$BQ$61:$BQ$64,'&lt;산정tool&gt;배출량,감축량'!$BQ$67:$BQ$73,'&lt;산정tool&gt;배출량,감축량'!$BQ$76:$BQ$78,'&lt;산정tool&gt;배출량,감축량'!$BQ$80,'&lt;산정tool&gt;배출량,감축량'!$BQ$82:$BQ$83</definedName>
    <definedName name="액체연료">'&lt;산정tool&gt;배출량,감축량'!$BQ$200:$BQ$221</definedName>
    <definedName name="액체연료연소">'&lt;산정tool&gt;배출량,감축량'!$CV$16:$CV$17</definedName>
    <definedName name="업종분류">'&lt;산정tool&gt;배출량,감축량'!$CP$25:$CR$28</definedName>
    <definedName name="업체지정">OFFSET(Init_업체지정,0,0,COUNTA(OFFSET(Init_업체지정,0,0,65536,1)),42)</definedName>
    <definedName name="열">'&lt;산정tool&gt;배출량,감축량'!$CV$10:$CV$12</definedName>
    <definedName name="유형근" hidden="1">"AS2DocumentEdit"</definedName>
    <definedName name="이동연소">'&lt;산정tool&gt;배출량,감축량'!$BQ$222:$BQ$229</definedName>
    <definedName name="적용업종">'&lt;산정tool&gt;배출량,감축량'!$Q$1</definedName>
    <definedName name="전력">'&lt;산정tool&gt;배출량,감축량'!$CV$8:$CV$9</definedName>
    <definedName name="조별" hidden="1">#REF!</definedName>
    <definedName name="지원비율">'설비 단위 계획서'!$U$16</definedName>
    <definedName name="참고1_감축량" localSheetId="4">'&lt;산정tool&gt;배출량,감축량'!$B$9:$I$9</definedName>
    <definedName name="참고2_투자회수">'&lt;산정tool&gt;투자회수기간'!$B$8:$G$8</definedName>
    <definedName name="참고3_보조금">'&lt;산정tool&gt;보조금'!$B$7:$E$7</definedName>
    <definedName name="추가할당_이의" hidden="1">#REF!</definedName>
    <definedName name="추가할당_통보" hidden="1">#REF!</definedName>
    <definedName name="추가할당이의_무상">OFFSET(Init_추가할당_이의,0,18,COUNTA(OFFSET(Init_추가할당_이의,0,0,65536,1)),5)</definedName>
    <definedName name="추가할당이의_유상">OFFSET(Init_추가할당_이의,0,40,COUNTA(OFFSET(Init_추가할당_이의,0,0,65536,1)),5)</definedName>
    <definedName name="추가할당통보_무상">OFFSET(Init_추가할당_통보,0,16,COUNTA(OFFSET(Init_추가할당_통보,0,0,65536,1)),5)</definedName>
    <definedName name="추가할당통보_유상">OFFSET(Init_추가할당_통보,0,38,COUNTA(OFFSET(Init_추가할당_통보,0,0,65536,1)),5)</definedName>
    <definedName name="취소_이의" hidden="1">#REF!</definedName>
    <definedName name="취소_통보" hidden="1">#REF!</definedName>
    <definedName name="취소이의_무상">OFFSET(Init_취소_이의,0,19,COUNTA(OFFSET(Init_취소_이의,0,0,65536,1)),5)</definedName>
    <definedName name="취소이의_유상">OFFSET(Init_취소_이의,0,41,COUNTA(OFFSET(Init_취소_이의,0,0,65536,1)),5)</definedName>
    <definedName name="취소통보_무상">OFFSET(Init_취소_통보,0,17,COUNTA(OFFSET(Init_취소_통보,0,0,65536,1)),5)</definedName>
    <definedName name="취소통보_유상">OFFSET(Init_취소_통보,0,39,COUNTA(OFFSET(Init_취소_통보,0,0,65536,1)),5)</definedName>
    <definedName name="코드_추가할당_이의">OFFSET(Init_추가할당_이의,0,0,COUNTA(OFFSET(Init_추가할당_이의,0,0,65536,1)),1)</definedName>
    <definedName name="코드_추가할당_통보">OFFSET(Init_추가할당_통보,0,0,COUNTA(OFFSET(Init_추가할당_통보,0,0,65536,1)),1)</definedName>
    <definedName name="코드_취소_이의">OFFSET(Init_취소_이의,0,0,COUNTA(OFFSET(Init_취소_이의,0,0,65536,1)),1)</definedName>
    <definedName name="코드_취소_통보">OFFSET(Init_취소_통보,0,0,COUNTA(OFFSET(Init_취소_통보,0,0,65536,1)),1)</definedName>
    <definedName name="현재할당량">OFFSET(Init_현재할당,0,0,COUNTA(OFFSET(Init_현재할당,0,0,65536,1))-IF(OFFSET(Init_현재할당,COUNTA(OFFSET(Init_현재할당,0,0,65536,1))-1,0)="합계",1,0),62)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3" l="1"/>
  <c r="J22" i="13"/>
  <c r="I14" i="13"/>
  <c r="J14" i="13"/>
  <c r="I15" i="13"/>
  <c r="J15" i="13"/>
  <c r="I16" i="13"/>
  <c r="J16" i="13"/>
  <c r="I17" i="13"/>
  <c r="J17" i="13"/>
  <c r="I18" i="13"/>
  <c r="J18" i="13"/>
  <c r="I19" i="13"/>
  <c r="J19" i="13"/>
  <c r="I20" i="13"/>
  <c r="J20" i="13"/>
  <c r="I21" i="13"/>
  <c r="J21" i="13"/>
  <c r="H9" i="14"/>
  <c r="U16" i="1" l="1"/>
  <c r="J6" i="11" l="1"/>
  <c r="H6" i="11"/>
  <c r="F6" i="11"/>
  <c r="S25" i="1" l="1"/>
  <c r="S24" i="1"/>
  <c r="S23" i="1"/>
  <c r="S22" i="1"/>
  <c r="S21" i="1"/>
  <c r="S20" i="1"/>
  <c r="S19" i="1"/>
  <c r="S18" i="1"/>
  <c r="T18" i="1" l="1"/>
  <c r="T19" i="1"/>
  <c r="T20" i="1"/>
  <c r="O16" i="16" l="1"/>
  <c r="Q14" i="11" l="1"/>
  <c r="Q13" i="11"/>
  <c r="C31" i="11"/>
  <c r="K21" i="11"/>
  <c r="H21" i="11"/>
  <c r="D9" i="14" l="1"/>
  <c r="D10" i="14"/>
  <c r="D11" i="14"/>
  <c r="D12" i="14"/>
  <c r="D13" i="14"/>
  <c r="T26" i="15" l="1"/>
  <c r="T25" i="15"/>
  <c r="T24" i="15"/>
  <c r="T23" i="15"/>
  <c r="T22" i="15"/>
  <c r="T21" i="15"/>
  <c r="T20" i="15"/>
  <c r="T19" i="15"/>
  <c r="T18" i="15"/>
  <c r="T17" i="15"/>
  <c r="T16" i="15"/>
  <c r="T15" i="15"/>
  <c r="T14" i="15"/>
  <c r="T13" i="15"/>
  <c r="T12" i="15"/>
  <c r="T11" i="15"/>
  <c r="T10" i="15"/>
  <c r="T9" i="15"/>
  <c r="T8" i="15"/>
  <c r="O17" i="16" l="1"/>
  <c r="R11" i="11"/>
  <c r="R9" i="11"/>
  <c r="R10" i="11"/>
  <c r="R7" i="11"/>
  <c r="S7" i="11" s="1"/>
  <c r="O32" i="16"/>
  <c r="O23" i="16"/>
  <c r="O30" i="16"/>
  <c r="O22" i="16"/>
  <c r="O29" i="16"/>
  <c r="O21" i="16"/>
  <c r="O26" i="16"/>
  <c r="O18" i="16"/>
  <c r="O24" i="16"/>
  <c r="R8" i="11"/>
  <c r="S8" i="11" s="1"/>
  <c r="O31" i="16"/>
  <c r="R12" i="11"/>
  <c r="S12" i="11" s="1"/>
  <c r="O36" i="16"/>
  <c r="O28" i="16"/>
  <c r="O20" i="16"/>
  <c r="O35" i="16"/>
  <c r="O27" i="16"/>
  <c r="O19" i="16"/>
  <c r="O34" i="16"/>
  <c r="R6" i="11"/>
  <c r="O33" i="16"/>
  <c r="O25" i="16"/>
  <c r="U13" i="11"/>
  <c r="T13" i="11"/>
  <c r="G31" i="11"/>
  <c r="E31" i="11"/>
  <c r="N26" i="15"/>
  <c r="N25" i="15"/>
  <c r="N24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N8" i="15"/>
  <c r="I11" i="13"/>
  <c r="R14" i="11" l="1"/>
  <c r="S14" i="11" s="1"/>
  <c r="S11" i="11"/>
  <c r="V11" i="11" s="1"/>
  <c r="W11" i="11" s="1"/>
  <c r="S10" i="11"/>
  <c r="V10" i="11" s="1"/>
  <c r="W10" i="11" s="1"/>
  <c r="S9" i="11"/>
  <c r="V9" i="11" s="1"/>
  <c r="W9" i="11" s="1"/>
  <c r="S6" i="11"/>
  <c r="R13" i="11"/>
  <c r="G8" i="14"/>
  <c r="E11" i="14"/>
  <c r="F11" i="14"/>
  <c r="E12" i="14"/>
  <c r="F12" i="14"/>
  <c r="E13" i="14"/>
  <c r="F13" i="14"/>
  <c r="I11" i="14" l="1"/>
  <c r="I13" i="14"/>
  <c r="I12" i="14"/>
  <c r="H12" i="14"/>
  <c r="H13" i="14"/>
  <c r="H11" i="14"/>
  <c r="T25" i="1"/>
  <c r="T24" i="1"/>
  <c r="T23" i="1"/>
  <c r="T22" i="1"/>
  <c r="T21" i="1"/>
  <c r="J6" i="13" l="1"/>
  <c r="J7" i="13"/>
  <c r="J8" i="13"/>
  <c r="J9" i="13"/>
  <c r="J10" i="13"/>
  <c r="J11" i="13"/>
  <c r="J12" i="13"/>
  <c r="J13" i="13"/>
  <c r="J5" i="13"/>
  <c r="I6" i="13"/>
  <c r="I7" i="13"/>
  <c r="I8" i="13"/>
  <c r="I9" i="13"/>
  <c r="I10" i="13"/>
  <c r="I12" i="13"/>
  <c r="I13" i="13"/>
  <c r="I5" i="13"/>
  <c r="U11" i="15" l="1"/>
  <c r="U10" i="15"/>
  <c r="U9" i="15"/>
  <c r="U8" i="15"/>
  <c r="O10" i="15"/>
  <c r="O9" i="15"/>
  <c r="O8" i="15"/>
  <c r="E10" i="14"/>
  <c r="F10" i="14"/>
  <c r="I10" i="14" l="1"/>
  <c r="H10" i="14"/>
  <c r="I8" i="15"/>
  <c r="P22" i="16" l="1"/>
  <c r="S22" i="16" s="1"/>
  <c r="T22" i="16" s="1"/>
  <c r="P23" i="16"/>
  <c r="S23" i="16" s="1"/>
  <c r="T23" i="16" s="1"/>
  <c r="P24" i="16"/>
  <c r="S24" i="16" s="1"/>
  <c r="T24" i="16" s="1"/>
  <c r="P25" i="16"/>
  <c r="S25" i="16" s="1"/>
  <c r="T25" i="16" s="1"/>
  <c r="P26" i="16"/>
  <c r="S26" i="16" s="1"/>
  <c r="T26" i="16" s="1"/>
  <c r="P27" i="16"/>
  <c r="S27" i="16" s="1"/>
  <c r="T27" i="16" s="1"/>
  <c r="P28" i="16"/>
  <c r="S28" i="16" s="1"/>
  <c r="T28" i="16" s="1"/>
  <c r="P29" i="16"/>
  <c r="S29" i="16" s="1"/>
  <c r="T29" i="16" s="1"/>
  <c r="P30" i="16"/>
  <c r="S30" i="16" s="1"/>
  <c r="T30" i="16" s="1"/>
  <c r="P31" i="16"/>
  <c r="S31" i="16" s="1"/>
  <c r="T31" i="16" s="1"/>
  <c r="P32" i="16"/>
  <c r="S32" i="16" s="1"/>
  <c r="T32" i="16" s="1"/>
  <c r="P33" i="16"/>
  <c r="S33" i="16" s="1"/>
  <c r="T33" i="16" s="1"/>
  <c r="P34" i="16"/>
  <c r="S34" i="16" s="1"/>
  <c r="T34" i="16" s="1"/>
  <c r="P35" i="16"/>
  <c r="S35" i="16" s="1"/>
  <c r="T35" i="16" s="1"/>
  <c r="V8" i="11"/>
  <c r="V12" i="11"/>
  <c r="T14" i="11"/>
  <c r="U14" i="11"/>
  <c r="P36" i="16"/>
  <c r="S36" i="16" s="1"/>
  <c r="T36" i="16" s="1"/>
  <c r="P21" i="16"/>
  <c r="P20" i="16"/>
  <c r="P19" i="16"/>
  <c r="S19" i="16" s="1"/>
  <c r="T19" i="16" s="1"/>
  <c r="P18" i="16"/>
  <c r="P17" i="16"/>
  <c r="S17" i="16" s="1"/>
  <c r="U26" i="15"/>
  <c r="O26" i="15"/>
  <c r="U25" i="15"/>
  <c r="O25" i="15"/>
  <c r="U24" i="15"/>
  <c r="O24" i="15"/>
  <c r="U23" i="15"/>
  <c r="O23" i="15"/>
  <c r="U22" i="15"/>
  <c r="O22" i="15"/>
  <c r="U21" i="15"/>
  <c r="O21" i="15"/>
  <c r="U20" i="15"/>
  <c r="O20" i="15"/>
  <c r="U19" i="15"/>
  <c r="O19" i="15"/>
  <c r="U18" i="15"/>
  <c r="O18" i="15"/>
  <c r="I18" i="15" s="1"/>
  <c r="U17" i="15"/>
  <c r="O17" i="15"/>
  <c r="U16" i="15"/>
  <c r="O16" i="15"/>
  <c r="I16" i="15" s="1"/>
  <c r="U15" i="15"/>
  <c r="O15" i="15"/>
  <c r="I15" i="15" s="1"/>
  <c r="U14" i="15"/>
  <c r="O14" i="15"/>
  <c r="I14" i="15" s="1"/>
  <c r="U13" i="15"/>
  <c r="O13" i="15"/>
  <c r="U12" i="15"/>
  <c r="O12" i="15"/>
  <c r="I12" i="15" s="1"/>
  <c r="O11" i="15"/>
  <c r="I11" i="15" s="1"/>
  <c r="I10" i="15"/>
  <c r="I9" i="15"/>
  <c r="BR247" i="14"/>
  <c r="BR246" i="14"/>
  <c r="BR245" i="14"/>
  <c r="BR244" i="14"/>
  <c r="BR243" i="14"/>
  <c r="BR242" i="14"/>
  <c r="BR241" i="14"/>
  <c r="BR240" i="14"/>
  <c r="BR239" i="14"/>
  <c r="BR238" i="14"/>
  <c r="BR237" i="14"/>
  <c r="BR236" i="14"/>
  <c r="BR235" i="14"/>
  <c r="BR234" i="14"/>
  <c r="BR233" i="14"/>
  <c r="BR232" i="14"/>
  <c r="BR231" i="14"/>
  <c r="BR229" i="14"/>
  <c r="BR228" i="14"/>
  <c r="BR227" i="14"/>
  <c r="BR226" i="14"/>
  <c r="BR225" i="14"/>
  <c r="BR224" i="14"/>
  <c r="BR223" i="14"/>
  <c r="BR222" i="14"/>
  <c r="BR221" i="14"/>
  <c r="BR220" i="14"/>
  <c r="BR219" i="14"/>
  <c r="BR218" i="14"/>
  <c r="BR217" i="14"/>
  <c r="BR216" i="14"/>
  <c r="BR215" i="14"/>
  <c r="BR214" i="14"/>
  <c r="BR213" i="14"/>
  <c r="BR212" i="14"/>
  <c r="BR211" i="14"/>
  <c r="BR210" i="14"/>
  <c r="BR209" i="14"/>
  <c r="BR208" i="14"/>
  <c r="BR207" i="14"/>
  <c r="BR206" i="14"/>
  <c r="BR205" i="14"/>
  <c r="BR204" i="14"/>
  <c r="BR203" i="14"/>
  <c r="BR202" i="14"/>
  <c r="BR201" i="14"/>
  <c r="BR200" i="14"/>
  <c r="BR199" i="14"/>
  <c r="BR198" i="14"/>
  <c r="BR197" i="14"/>
  <c r="BR196" i="14"/>
  <c r="BR195" i="14"/>
  <c r="BR194" i="14"/>
  <c r="BR193" i="14"/>
  <c r="BR192" i="14"/>
  <c r="BR191" i="14"/>
  <c r="BR190" i="14"/>
  <c r="BR189" i="14"/>
  <c r="BR188" i="14"/>
  <c r="BR187" i="14"/>
  <c r="BR186" i="14"/>
  <c r="BR185" i="14"/>
  <c r="BR184" i="14"/>
  <c r="BR183" i="14"/>
  <c r="BR182" i="14"/>
  <c r="BR181" i="14"/>
  <c r="BR180" i="14"/>
  <c r="BR179" i="14"/>
  <c r="BR178" i="14"/>
  <c r="BR177" i="14"/>
  <c r="BR176" i="14"/>
  <c r="BR175" i="14"/>
  <c r="BR174" i="14"/>
  <c r="BR173" i="14"/>
  <c r="BR172" i="14"/>
  <c r="BR171" i="14"/>
  <c r="BR170" i="14"/>
  <c r="BR169" i="14"/>
  <c r="BR168" i="14"/>
  <c r="BR167" i="14"/>
  <c r="BR166" i="14"/>
  <c r="BR165" i="14"/>
  <c r="BB35" i="14"/>
  <c r="AY35" i="14"/>
  <c r="AV35" i="14"/>
  <c r="AU35" i="14"/>
  <c r="BA35" i="14" s="1"/>
  <c r="AS35" i="14"/>
  <c r="AR35" i="14"/>
  <c r="AO35" i="14" s="1"/>
  <c r="AP35" i="14"/>
  <c r="AH35" i="14"/>
  <c r="AE35" i="14"/>
  <c r="AB35" i="14"/>
  <c r="AA35" i="14"/>
  <c r="AG35" i="14" s="1"/>
  <c r="Y35" i="14"/>
  <c r="X35" i="14"/>
  <c r="U35" i="14" s="1"/>
  <c r="V35" i="14"/>
  <c r="N35" i="14"/>
  <c r="M35" i="14"/>
  <c r="BB34" i="14"/>
  <c r="AY34" i="14"/>
  <c r="AV34" i="14"/>
  <c r="AU34" i="14"/>
  <c r="AX34" i="14" s="1"/>
  <c r="AS34" i="14"/>
  <c r="AR34" i="14"/>
  <c r="AO34" i="14" s="1"/>
  <c r="AP34" i="14"/>
  <c r="AH34" i="14"/>
  <c r="AE34" i="14"/>
  <c r="AB34" i="14"/>
  <c r="AA34" i="14"/>
  <c r="AG34" i="14" s="1"/>
  <c r="Y34" i="14"/>
  <c r="X34" i="14"/>
  <c r="U34" i="14" s="1"/>
  <c r="V34" i="14"/>
  <c r="N34" i="14"/>
  <c r="M34" i="14"/>
  <c r="BB33" i="14"/>
  <c r="AY33" i="14"/>
  <c r="AV33" i="14"/>
  <c r="AU33" i="14"/>
  <c r="BA33" i="14" s="1"/>
  <c r="AS33" i="14"/>
  <c r="AR33" i="14"/>
  <c r="AO33" i="14" s="1"/>
  <c r="AP33" i="14"/>
  <c r="AH33" i="14"/>
  <c r="AE33" i="14"/>
  <c r="AB33" i="14"/>
  <c r="AA33" i="14"/>
  <c r="AD33" i="14" s="1"/>
  <c r="Y33" i="14"/>
  <c r="X33" i="14"/>
  <c r="U33" i="14" s="1"/>
  <c r="V33" i="14"/>
  <c r="N33" i="14"/>
  <c r="M33" i="14"/>
  <c r="BB32" i="14"/>
  <c r="AY32" i="14"/>
  <c r="AV32" i="14"/>
  <c r="AU32" i="14"/>
  <c r="BA32" i="14" s="1"/>
  <c r="AS32" i="14"/>
  <c r="AR32" i="14"/>
  <c r="AO32" i="14" s="1"/>
  <c r="AP32" i="14"/>
  <c r="AH32" i="14"/>
  <c r="AE32" i="14"/>
  <c r="AB32" i="14"/>
  <c r="AA32" i="14"/>
  <c r="AG32" i="14" s="1"/>
  <c r="Y32" i="14"/>
  <c r="X32" i="14"/>
  <c r="U32" i="14" s="1"/>
  <c r="V32" i="14"/>
  <c r="N32" i="14"/>
  <c r="M32" i="14"/>
  <c r="BB31" i="14"/>
  <c r="AY31" i="14"/>
  <c r="AV31" i="14"/>
  <c r="AU31" i="14"/>
  <c r="BA31" i="14" s="1"/>
  <c r="AS31" i="14"/>
  <c r="AR31" i="14"/>
  <c r="AO31" i="14" s="1"/>
  <c r="AP31" i="14"/>
  <c r="AH31" i="14"/>
  <c r="AE31" i="14"/>
  <c r="AB31" i="14"/>
  <c r="AA31" i="14"/>
  <c r="AG31" i="14" s="1"/>
  <c r="Y31" i="14"/>
  <c r="X31" i="14"/>
  <c r="U31" i="14" s="1"/>
  <c r="V31" i="14"/>
  <c r="N31" i="14"/>
  <c r="M31" i="14"/>
  <c r="BB30" i="14"/>
  <c r="AY30" i="14"/>
  <c r="AV30" i="14"/>
  <c r="AU30" i="14"/>
  <c r="AX30" i="14" s="1"/>
  <c r="AS30" i="14"/>
  <c r="AR30" i="14"/>
  <c r="AO30" i="14" s="1"/>
  <c r="AP30" i="14"/>
  <c r="AH30" i="14"/>
  <c r="AE30" i="14"/>
  <c r="AB30" i="14"/>
  <c r="AA30" i="14"/>
  <c r="AG30" i="14" s="1"/>
  <c r="Y30" i="14"/>
  <c r="X30" i="14"/>
  <c r="U30" i="14" s="1"/>
  <c r="V30" i="14"/>
  <c r="N30" i="14"/>
  <c r="M30" i="14"/>
  <c r="BB29" i="14"/>
  <c r="AY29" i="14"/>
  <c r="AV29" i="14"/>
  <c r="AU29" i="14"/>
  <c r="BA29" i="14" s="1"/>
  <c r="AS29" i="14"/>
  <c r="AR29" i="14"/>
  <c r="AO29" i="14" s="1"/>
  <c r="AP29" i="14"/>
  <c r="AH29" i="14"/>
  <c r="AE29" i="14"/>
  <c r="AB29" i="14"/>
  <c r="AA29" i="14"/>
  <c r="AD29" i="14" s="1"/>
  <c r="Y29" i="14"/>
  <c r="X29" i="14"/>
  <c r="U29" i="14" s="1"/>
  <c r="V29" i="14"/>
  <c r="N29" i="14"/>
  <c r="M29" i="14"/>
  <c r="BB28" i="14"/>
  <c r="AY28" i="14"/>
  <c r="AV28" i="14"/>
  <c r="AU28" i="14"/>
  <c r="BA28" i="14" s="1"/>
  <c r="AS28" i="14"/>
  <c r="AR28" i="14"/>
  <c r="AO28" i="14" s="1"/>
  <c r="AP28" i="14"/>
  <c r="AH28" i="14"/>
  <c r="AE28" i="14"/>
  <c r="AB28" i="14"/>
  <c r="AA28" i="14"/>
  <c r="AG28" i="14" s="1"/>
  <c r="Y28" i="14"/>
  <c r="X28" i="14"/>
  <c r="U28" i="14" s="1"/>
  <c r="V28" i="14"/>
  <c r="N28" i="14"/>
  <c r="M28" i="14"/>
  <c r="BB27" i="14"/>
  <c r="AY27" i="14"/>
  <c r="AV27" i="14"/>
  <c r="AU27" i="14"/>
  <c r="BA27" i="14" s="1"/>
  <c r="AS27" i="14"/>
  <c r="AR27" i="14"/>
  <c r="AO27" i="14" s="1"/>
  <c r="AP27" i="14"/>
  <c r="AH27" i="14"/>
  <c r="AE27" i="14"/>
  <c r="AB27" i="14"/>
  <c r="AA27" i="14"/>
  <c r="AG27" i="14" s="1"/>
  <c r="Y27" i="14"/>
  <c r="X27" i="14"/>
  <c r="U27" i="14" s="1"/>
  <c r="V27" i="14"/>
  <c r="N27" i="14"/>
  <c r="M27" i="14"/>
  <c r="BB26" i="14"/>
  <c r="AY26" i="14"/>
  <c r="AV26" i="14"/>
  <c r="AU26" i="14"/>
  <c r="AX26" i="14" s="1"/>
  <c r="AS26" i="14"/>
  <c r="AR26" i="14"/>
  <c r="AO26" i="14" s="1"/>
  <c r="AP26" i="14"/>
  <c r="AH26" i="14"/>
  <c r="AE26" i="14"/>
  <c r="AB26" i="14"/>
  <c r="AA26" i="14"/>
  <c r="AG26" i="14" s="1"/>
  <c r="Y26" i="14"/>
  <c r="X26" i="14"/>
  <c r="U26" i="14" s="1"/>
  <c r="V26" i="14"/>
  <c r="N26" i="14"/>
  <c r="M26" i="14"/>
  <c r="BB25" i="14"/>
  <c r="AY25" i="14"/>
  <c r="AV25" i="14"/>
  <c r="AU25" i="14"/>
  <c r="BA25" i="14" s="1"/>
  <c r="AS25" i="14"/>
  <c r="AR25" i="14"/>
  <c r="AO25" i="14" s="1"/>
  <c r="AP25" i="14"/>
  <c r="AH25" i="14"/>
  <c r="AE25" i="14"/>
  <c r="AB25" i="14"/>
  <c r="AA25" i="14"/>
  <c r="AD25" i="14" s="1"/>
  <c r="Y25" i="14"/>
  <c r="X25" i="14"/>
  <c r="U25" i="14" s="1"/>
  <c r="V25" i="14"/>
  <c r="N25" i="14"/>
  <c r="M25" i="14"/>
  <c r="BB24" i="14"/>
  <c r="AY24" i="14"/>
  <c r="AV24" i="14"/>
  <c r="AU24" i="14"/>
  <c r="BA24" i="14" s="1"/>
  <c r="AS24" i="14"/>
  <c r="AR24" i="14"/>
  <c r="AO24" i="14" s="1"/>
  <c r="AP24" i="14"/>
  <c r="AH24" i="14"/>
  <c r="AE24" i="14"/>
  <c r="AB24" i="14"/>
  <c r="AA24" i="14"/>
  <c r="AG24" i="14" s="1"/>
  <c r="Y24" i="14"/>
  <c r="X24" i="14"/>
  <c r="U24" i="14" s="1"/>
  <c r="V24" i="14"/>
  <c r="N24" i="14"/>
  <c r="M24" i="14"/>
  <c r="BB23" i="14"/>
  <c r="AY23" i="14"/>
  <c r="AV23" i="14"/>
  <c r="AU23" i="14"/>
  <c r="BA23" i="14" s="1"/>
  <c r="AS23" i="14"/>
  <c r="AR23" i="14"/>
  <c r="AO23" i="14" s="1"/>
  <c r="AP23" i="14"/>
  <c r="AH23" i="14"/>
  <c r="AE23" i="14"/>
  <c r="AB23" i="14"/>
  <c r="AA23" i="14"/>
  <c r="AG23" i="14" s="1"/>
  <c r="Y23" i="14"/>
  <c r="X23" i="14"/>
  <c r="U23" i="14" s="1"/>
  <c r="V23" i="14"/>
  <c r="N23" i="14"/>
  <c r="M23" i="14"/>
  <c r="BB22" i="14"/>
  <c r="AY22" i="14"/>
  <c r="AV22" i="14"/>
  <c r="AU22" i="14"/>
  <c r="AX22" i="14" s="1"/>
  <c r="AS22" i="14"/>
  <c r="AR22" i="14"/>
  <c r="AO22" i="14" s="1"/>
  <c r="AP22" i="14"/>
  <c r="AH22" i="14"/>
  <c r="AE22" i="14"/>
  <c r="AB22" i="14"/>
  <c r="AA22" i="14"/>
  <c r="AG22" i="14" s="1"/>
  <c r="Y22" i="14"/>
  <c r="X22" i="14"/>
  <c r="U22" i="14" s="1"/>
  <c r="V22" i="14"/>
  <c r="N22" i="14"/>
  <c r="M22" i="14"/>
  <c r="BB21" i="14"/>
  <c r="AY21" i="14"/>
  <c r="AV21" i="14"/>
  <c r="AU21" i="14"/>
  <c r="BA21" i="14" s="1"/>
  <c r="AS21" i="14"/>
  <c r="AR21" i="14"/>
  <c r="AO21" i="14" s="1"/>
  <c r="AP21" i="14"/>
  <c r="AH21" i="14"/>
  <c r="AE21" i="14"/>
  <c r="AB21" i="14"/>
  <c r="AA21" i="14"/>
  <c r="AD21" i="14" s="1"/>
  <c r="Y21" i="14"/>
  <c r="X21" i="14"/>
  <c r="U21" i="14" s="1"/>
  <c r="V21" i="14"/>
  <c r="N21" i="14"/>
  <c r="M21" i="14"/>
  <c r="BB20" i="14"/>
  <c r="AY20" i="14"/>
  <c r="AV20" i="14"/>
  <c r="AU20" i="14"/>
  <c r="BA20" i="14" s="1"/>
  <c r="AS20" i="14"/>
  <c r="AR20" i="14"/>
  <c r="AO20" i="14" s="1"/>
  <c r="AP20" i="14"/>
  <c r="AH20" i="14"/>
  <c r="AE20" i="14"/>
  <c r="AB20" i="14"/>
  <c r="AA20" i="14"/>
  <c r="AG20" i="14" s="1"/>
  <c r="Y20" i="14"/>
  <c r="X20" i="14"/>
  <c r="U20" i="14" s="1"/>
  <c r="V20" i="14"/>
  <c r="N20" i="14"/>
  <c r="M20" i="14"/>
  <c r="BB19" i="14"/>
  <c r="AY19" i="14"/>
  <c r="AV19" i="14"/>
  <c r="AU19" i="14"/>
  <c r="BA19" i="14" s="1"/>
  <c r="AS19" i="14"/>
  <c r="AR19" i="14"/>
  <c r="AO19" i="14" s="1"/>
  <c r="AP19" i="14"/>
  <c r="AH19" i="14"/>
  <c r="AE19" i="14"/>
  <c r="AB19" i="14"/>
  <c r="AA19" i="14"/>
  <c r="AG19" i="14" s="1"/>
  <c r="Y19" i="14"/>
  <c r="X19" i="14"/>
  <c r="U19" i="14" s="1"/>
  <c r="V19" i="14"/>
  <c r="N19" i="14"/>
  <c r="M19" i="14"/>
  <c r="BB18" i="14"/>
  <c r="AY18" i="14"/>
  <c r="AV18" i="14"/>
  <c r="AU18" i="14"/>
  <c r="AX18" i="14" s="1"/>
  <c r="AS18" i="14"/>
  <c r="AR18" i="14"/>
  <c r="AO18" i="14" s="1"/>
  <c r="AP18" i="14"/>
  <c r="AH18" i="14"/>
  <c r="AE18" i="14"/>
  <c r="AB18" i="14"/>
  <c r="AA18" i="14"/>
  <c r="AG18" i="14" s="1"/>
  <c r="Y18" i="14"/>
  <c r="X18" i="14"/>
  <c r="U18" i="14" s="1"/>
  <c r="V18" i="14"/>
  <c r="N18" i="14"/>
  <c r="M18" i="14"/>
  <c r="BB17" i="14"/>
  <c r="AY17" i="14"/>
  <c r="AV17" i="14"/>
  <c r="AU17" i="14"/>
  <c r="BA17" i="14" s="1"/>
  <c r="AS17" i="14"/>
  <c r="AR17" i="14"/>
  <c r="AO17" i="14" s="1"/>
  <c r="AP17" i="14"/>
  <c r="AH17" i="14"/>
  <c r="AE17" i="14"/>
  <c r="AB17" i="14"/>
  <c r="AA17" i="14"/>
  <c r="AD17" i="14" s="1"/>
  <c r="Y17" i="14"/>
  <c r="X17" i="14"/>
  <c r="U17" i="14" s="1"/>
  <c r="V17" i="14"/>
  <c r="N17" i="14"/>
  <c r="M17" i="14"/>
  <c r="BB16" i="14"/>
  <c r="AY16" i="14"/>
  <c r="AV16" i="14"/>
  <c r="AU16" i="14"/>
  <c r="BA16" i="14" s="1"/>
  <c r="AS16" i="14"/>
  <c r="AR16" i="14"/>
  <c r="AO16" i="14" s="1"/>
  <c r="AP16" i="14"/>
  <c r="AH16" i="14"/>
  <c r="AE16" i="14"/>
  <c r="AB16" i="14"/>
  <c r="AA16" i="14"/>
  <c r="AG16" i="14" s="1"/>
  <c r="Y16" i="14"/>
  <c r="X16" i="14"/>
  <c r="U16" i="14" s="1"/>
  <c r="V16" i="14"/>
  <c r="N16" i="14"/>
  <c r="M16" i="14"/>
  <c r="BB15" i="14"/>
  <c r="AY15" i="14"/>
  <c r="AV15" i="14"/>
  <c r="AU15" i="14"/>
  <c r="BA15" i="14" s="1"/>
  <c r="AS15" i="14"/>
  <c r="AR15" i="14"/>
  <c r="AO15" i="14" s="1"/>
  <c r="AP15" i="14"/>
  <c r="AH15" i="14"/>
  <c r="AE15" i="14"/>
  <c r="AB15" i="14"/>
  <c r="AA15" i="14"/>
  <c r="AG15" i="14" s="1"/>
  <c r="Y15" i="14"/>
  <c r="X15" i="14"/>
  <c r="U15" i="14" s="1"/>
  <c r="V15" i="14"/>
  <c r="N15" i="14"/>
  <c r="M15" i="14"/>
  <c r="BB14" i="14"/>
  <c r="AY14" i="14"/>
  <c r="AV14" i="14"/>
  <c r="AU14" i="14"/>
  <c r="BA14" i="14" s="1"/>
  <c r="AS14" i="14"/>
  <c r="N14" i="14" s="1"/>
  <c r="AR14" i="14"/>
  <c r="AO14" i="14" s="1"/>
  <c r="AP14" i="14"/>
  <c r="AH14" i="14"/>
  <c r="AE14" i="14"/>
  <c r="AB14" i="14"/>
  <c r="AA14" i="14"/>
  <c r="AD14" i="14" s="1"/>
  <c r="Y14" i="14"/>
  <c r="X14" i="14"/>
  <c r="U14" i="14" s="1"/>
  <c r="V14" i="14"/>
  <c r="BB13" i="14"/>
  <c r="AY13" i="14"/>
  <c r="AV13" i="14"/>
  <c r="AU13" i="14"/>
  <c r="BA13" i="14" s="1"/>
  <c r="AS13" i="14"/>
  <c r="AR13" i="14"/>
  <c r="AO13" i="14" s="1"/>
  <c r="AP13" i="14"/>
  <c r="N13" i="14" s="1"/>
  <c r="AH13" i="14"/>
  <c r="AE13" i="14"/>
  <c r="AB13" i="14"/>
  <c r="AA13" i="14"/>
  <c r="AG13" i="14" s="1"/>
  <c r="Y13" i="14"/>
  <c r="X13" i="14"/>
  <c r="U13" i="14" s="1"/>
  <c r="V13" i="14"/>
  <c r="BB12" i="14"/>
  <c r="AY12" i="14"/>
  <c r="AV12" i="14"/>
  <c r="AU12" i="14"/>
  <c r="BA12" i="14" s="1"/>
  <c r="AS12" i="14"/>
  <c r="N12" i="14" s="1"/>
  <c r="AR12" i="14"/>
  <c r="AP12" i="14"/>
  <c r="AH12" i="14"/>
  <c r="AE12" i="14"/>
  <c r="AB12" i="14"/>
  <c r="AA12" i="14"/>
  <c r="AG12" i="14" s="1"/>
  <c r="Y12" i="14"/>
  <c r="X12" i="14"/>
  <c r="V12" i="14"/>
  <c r="BB11" i="14"/>
  <c r="AY11" i="14"/>
  <c r="AV11" i="14"/>
  <c r="AU11" i="14"/>
  <c r="AX11" i="14" s="1"/>
  <c r="AS11" i="14"/>
  <c r="AR11" i="14"/>
  <c r="AO11" i="14" s="1"/>
  <c r="AP11" i="14"/>
  <c r="AH11" i="14"/>
  <c r="AE11" i="14"/>
  <c r="AB11" i="14"/>
  <c r="AA11" i="14"/>
  <c r="AG11" i="14" s="1"/>
  <c r="Y11" i="14"/>
  <c r="X11" i="14"/>
  <c r="U11" i="14" s="1"/>
  <c r="V11" i="14"/>
  <c r="BB10" i="14"/>
  <c r="AP10" i="14"/>
  <c r="AH10" i="14"/>
  <c r="AB10" i="14"/>
  <c r="BB9" i="14"/>
  <c r="AY9" i="14"/>
  <c r="AH9" i="14"/>
  <c r="AA9" i="14"/>
  <c r="AH8" i="14"/>
  <c r="AE8" i="14"/>
  <c r="AB8" i="14"/>
  <c r="AA8" i="14"/>
  <c r="AG8" i="14" s="1"/>
  <c r="Y8" i="14"/>
  <c r="X8" i="14"/>
  <c r="U8" i="14" s="1"/>
  <c r="V8" i="14"/>
  <c r="N11" i="14" l="1"/>
  <c r="M13" i="14"/>
  <c r="M14" i="14"/>
  <c r="M11" i="14"/>
  <c r="M12" i="14"/>
  <c r="U12" i="14"/>
  <c r="V7" i="11"/>
  <c r="W7" i="11" s="1"/>
  <c r="V14" i="11"/>
  <c r="W14" i="11" s="1"/>
  <c r="I13" i="15"/>
  <c r="I17" i="15"/>
  <c r="AO12" i="14"/>
  <c r="AD8" i="14"/>
  <c r="I22" i="15"/>
  <c r="I26" i="15"/>
  <c r="I20" i="15"/>
  <c r="I24" i="15"/>
  <c r="I21" i="15"/>
  <c r="I25" i="15"/>
  <c r="O7" i="15"/>
  <c r="I19" i="15"/>
  <c r="I23" i="15"/>
  <c r="U7" i="15"/>
  <c r="AD20" i="14"/>
  <c r="BA26" i="14"/>
  <c r="AD28" i="14"/>
  <c r="AG29" i="14"/>
  <c r="AX21" i="14"/>
  <c r="AX29" i="14"/>
  <c r="AG21" i="14"/>
  <c r="AD13" i="14"/>
  <c r="AD24" i="14"/>
  <c r="AD15" i="14"/>
  <c r="AG25" i="14"/>
  <c r="AD16" i="14"/>
  <c r="AD31" i="14"/>
  <c r="BA18" i="14"/>
  <c r="AX28" i="14"/>
  <c r="AD32" i="14"/>
  <c r="AD23" i="14"/>
  <c r="AG33" i="14"/>
  <c r="BA34" i="14"/>
  <c r="AX14" i="14"/>
  <c r="AX20" i="14"/>
  <c r="AG14" i="14"/>
  <c r="W8" i="11"/>
  <c r="X9" i="14"/>
  <c r="U9" i="14" s="1"/>
  <c r="AD12" i="14"/>
  <c r="AX16" i="14"/>
  <c r="AD19" i="14"/>
  <c r="AX24" i="14"/>
  <c r="AD27" i="14"/>
  <c r="AX32" i="14"/>
  <c r="AD35" i="14"/>
  <c r="BA22" i="14"/>
  <c r="BA30" i="14"/>
  <c r="AX15" i="14"/>
  <c r="AX17" i="14"/>
  <c r="AX25" i="14"/>
  <c r="AX33" i="14"/>
  <c r="Y9" i="14"/>
  <c r="AB9" i="14"/>
  <c r="AR10" i="14"/>
  <c r="AV10" i="14"/>
  <c r="AY10" i="14"/>
  <c r="AP9" i="14"/>
  <c r="AU9" i="14"/>
  <c r="BA9" i="14" s="1"/>
  <c r="AS10" i="14"/>
  <c r="N10" i="14" s="1"/>
  <c r="W12" i="11"/>
  <c r="S21" i="16"/>
  <c r="T21" i="16" s="1"/>
  <c r="AG9" i="14"/>
  <c r="AD9" i="14"/>
  <c r="S18" i="16"/>
  <c r="T18" i="16" s="1"/>
  <c r="T17" i="16"/>
  <c r="S20" i="16"/>
  <c r="AG17" i="14"/>
  <c r="P16" i="16"/>
  <c r="AR9" i="14"/>
  <c r="AE10" i="14"/>
  <c r="BA11" i="14"/>
  <c r="AE9" i="14"/>
  <c r="AS9" i="14"/>
  <c r="AU10" i="14"/>
  <c r="AX12" i="14"/>
  <c r="AD18" i="14"/>
  <c r="AX19" i="14"/>
  <c r="AD22" i="14"/>
  <c r="AX23" i="14"/>
  <c r="AD26" i="14"/>
  <c r="AX27" i="14"/>
  <c r="AD30" i="14"/>
  <c r="AX31" i="14"/>
  <c r="AD34" i="14"/>
  <c r="AX35" i="14"/>
  <c r="V9" i="14"/>
  <c r="M9" i="14" s="1"/>
  <c r="AV9" i="14"/>
  <c r="X10" i="14"/>
  <c r="V10" i="14"/>
  <c r="M10" i="14" s="1"/>
  <c r="AX13" i="14"/>
  <c r="AD11" i="14"/>
  <c r="AA10" i="14"/>
  <c r="Y10" i="14"/>
  <c r="N9" i="14" l="1"/>
  <c r="V6" i="11"/>
  <c r="S13" i="11"/>
  <c r="I7" i="15"/>
  <c r="E8" i="15" s="1"/>
  <c r="AX9" i="14"/>
  <c r="AO10" i="14"/>
  <c r="AO9" i="14"/>
  <c r="S16" i="16"/>
  <c r="T20" i="16"/>
  <c r="U10" i="14"/>
  <c r="AD10" i="14"/>
  <c r="AG10" i="14"/>
  <c r="BA10" i="14"/>
  <c r="AX10" i="14"/>
  <c r="M8" i="14" l="1"/>
  <c r="N8" i="14"/>
  <c r="W6" i="11"/>
  <c r="W13" i="11" s="1"/>
  <c r="V13" i="11"/>
  <c r="E9" i="14"/>
  <c r="F9" i="14"/>
  <c r="F8" i="14" s="1"/>
  <c r="T16" i="16"/>
  <c r="I9" i="14" l="1"/>
  <c r="E8" i="14"/>
  <c r="I8" i="14" s="1"/>
  <c r="H8" i="14"/>
  <c r="B12" i="1" s="1"/>
  <c r="F8" i="15" l="1"/>
  <c r="D8" i="15" s="1"/>
  <c r="Q14" i="16" l="1"/>
  <c r="N15" i="16"/>
  <c r="O14" i="16"/>
  <c r="Q9" i="16"/>
  <c r="S10" i="16"/>
  <c r="R15" i="16"/>
  <c r="P14" i="16"/>
  <c r="R11" i="16"/>
  <c r="T11" i="16"/>
  <c r="R13" i="16"/>
  <c r="T10" i="16"/>
  <c r="Q15" i="16"/>
  <c r="P11" i="16"/>
  <c r="O12" i="16"/>
  <c r="S9" i="16"/>
  <c r="Q12" i="16"/>
  <c r="P15" i="16"/>
  <c r="O15" i="16"/>
  <c r="T15" i="16"/>
  <c r="N13" i="16"/>
  <c r="N11" i="16"/>
  <c r="Q13" i="16"/>
  <c r="T9" i="16"/>
  <c r="S15" i="16"/>
  <c r="S12" i="16"/>
  <c r="Q11" i="16"/>
  <c r="T12" i="16"/>
  <c r="T13" i="16"/>
  <c r="T14" i="16"/>
  <c r="N12" i="16"/>
  <c r="P12" i="16"/>
  <c r="N10" i="16"/>
  <c r="Q10" i="16"/>
  <c r="P10" i="16"/>
  <c r="S13" i="16"/>
  <c r="R9" i="16"/>
  <c r="P9" i="16"/>
  <c r="O13" i="16"/>
  <c r="S11" i="16"/>
  <c r="R14" i="16"/>
  <c r="O11" i="16"/>
  <c r="P13" i="16"/>
  <c r="R10" i="16"/>
  <c r="N9" i="16"/>
  <c r="S14" i="16"/>
  <c r="O10" i="16"/>
  <c r="N14" i="16"/>
  <c r="R12" i="16"/>
  <c r="O9" i="16"/>
  <c r="O8" i="16" l="1"/>
  <c r="O7" i="16" s="1"/>
  <c r="E7" i="16" s="1"/>
  <c r="N8" i="16"/>
  <c r="T8" i="16"/>
  <c r="S8" i="16"/>
  <c r="P8" i="16"/>
  <c r="R8" i="16"/>
  <c r="R7" i="16" s="1"/>
  <c r="Q8" i="16"/>
  <c r="Q7" i="16" s="1"/>
  <c r="F13" i="1" l="1"/>
  <c r="N7" i="16"/>
  <c r="C7" i="16" s="1"/>
  <c r="P7" i="16" l="1"/>
  <c r="D7" i="16" s="1"/>
  <c r="C8" i="15" l="1"/>
  <c r="G8" i="15" s="1"/>
  <c r="G12" i="1" s="1"/>
  <c r="B13" i="1"/>
  <c r="S7" i="16"/>
  <c r="T7" i="16" s="1"/>
  <c r="B7" i="16" l="1"/>
  <c r="J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RMS</author>
    <author>공용6</author>
    <author>user</author>
  </authors>
  <commentList>
    <comment ref="J3" authorId="0" shapeId="0" xr:uid="{83C1D0D8-ADF8-404E-81CA-4BFEB6CD546E}">
      <text>
        <r>
          <rPr>
            <sz val="9"/>
            <color indexed="81"/>
            <rFont val="돋움"/>
            <family val="3"/>
            <charset val="129"/>
          </rPr>
          <t>목록에서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</text>
    </comment>
    <comment ref="F9" authorId="1" shapeId="0" xr:uid="{00000000-0006-0000-0100-000001000000}">
      <text>
        <r>
          <rPr>
            <b/>
            <sz val="9"/>
            <color indexed="81"/>
            <rFont val="돋움"/>
            <family val="3"/>
            <charset val="129"/>
          </rPr>
          <t>지원설비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목록에서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  <comment ref="A11" authorId="1" shapeId="0" xr:uid="{00000000-0006-0000-0100-000002000000}">
      <text>
        <r>
          <rPr>
            <b/>
            <sz val="9"/>
            <color indexed="81"/>
            <rFont val="돋움"/>
            <family val="3"/>
            <charset val="129"/>
          </rPr>
          <t>해당하는 경우 작성</t>
        </r>
        <r>
          <rPr>
            <b/>
            <sz val="8"/>
            <color indexed="81"/>
            <rFont val="돋움"/>
            <family val="3"/>
            <charset val="129"/>
          </rPr>
          <t xml:space="preserve"> (외부사업 방법론, CDM 방법론 등 방법론 명 작성)</t>
        </r>
      </text>
    </comment>
    <comment ref="K11" authorId="2" shapeId="0" xr:uid="{00000000-0006-0000-0100-000003000000}">
      <text>
        <r>
          <rPr>
            <sz val="9"/>
            <color indexed="81"/>
            <rFont val="돋움"/>
            <family val="3"/>
            <charset val="129"/>
          </rPr>
          <t>활동자료가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외일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활동자료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</text>
    </comment>
    <comment ref="A12" authorId="2" shapeId="0" xr:uid="{00000000-0006-0000-0100-000004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배출량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감축량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자동산정
</t>
        </r>
      </text>
    </comment>
    <comment ref="F12" authorId="2" shapeId="0" xr:uid="{00000000-0006-0000-0100-000005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투자회수기간</t>
        </r>
        <r>
          <rPr>
            <b/>
            <sz val="9"/>
            <color indexed="81"/>
            <rFont val="Tahoma"/>
            <family val="2"/>
          </rPr>
          <t xml:space="preserve">' 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13" authorId="2" shapeId="0" xr:uid="{00000000-0006-0000-0100-000006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D13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</text>
    </comment>
    <comment ref="H13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'&lt;</t>
        </r>
        <r>
          <rPr>
            <b/>
            <sz val="9"/>
            <color indexed="81"/>
            <rFont val="돋움"/>
            <family val="3"/>
            <charset val="129"/>
          </rPr>
          <t>산정</t>
        </r>
        <r>
          <rPr>
            <b/>
            <sz val="9"/>
            <color indexed="81"/>
            <rFont val="Tahoma"/>
            <family val="2"/>
          </rPr>
          <t xml:space="preserve">tool&gt;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시트에서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자동산정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 shapeId="0" xr:uid="{6CB8E9FC-F16A-4B30-A55D-9752051D1C9E}">
      <text>
        <r>
          <rPr>
            <b/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돋움"/>
            <family val="3"/>
            <charset val="129"/>
          </rPr>
          <t>신청업체가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부도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화의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법정관리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신청설비에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지원대상에서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제외
</t>
        </r>
        <r>
          <rPr>
            <b/>
            <sz val="9"/>
            <color indexed="81"/>
            <rFont val="Tahoma"/>
            <family val="2"/>
          </rPr>
          <t xml:space="preserve">2) </t>
        </r>
        <r>
          <rPr>
            <b/>
            <sz val="9"/>
            <color indexed="81"/>
            <rFont val="돋움"/>
            <family val="3"/>
            <charset val="129"/>
          </rPr>
          <t>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미지원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보조금에서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p.10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3) 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국고보조금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통합관리지침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22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관련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MS Gothic"/>
            <family val="3"/>
            <charset val="128"/>
          </rPr>
          <t>｢</t>
        </r>
        <r>
          <rPr>
            <b/>
            <sz val="9"/>
            <color indexed="81"/>
            <rFont val="돋움"/>
            <family val="3"/>
            <charset val="129"/>
          </rPr>
          <t>배출권거래제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할당대상업체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탄소중립설비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운영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지침</t>
        </r>
        <r>
          <rPr>
            <b/>
            <sz val="9"/>
            <color indexed="81"/>
            <rFont val="MS Gothic"/>
            <family val="3"/>
            <charset val="128"/>
          </rPr>
          <t>｣</t>
        </r>
        <r>
          <rPr>
            <b/>
            <sz val="9"/>
            <color indexed="81"/>
            <rFont val="Tahoma"/>
            <family val="2"/>
          </rPr>
          <t xml:space="preserve"> p.23 </t>
        </r>
        <r>
          <rPr>
            <b/>
            <sz val="9"/>
            <color indexed="81"/>
            <rFont val="돋움"/>
            <family val="3"/>
            <charset val="129"/>
          </rPr>
          <t>참조</t>
        </r>
        <r>
          <rPr>
            <b/>
            <sz val="9"/>
            <color indexed="81"/>
            <rFont val="Tahoma"/>
            <family val="2"/>
          </rPr>
          <t xml:space="preserve">)
  -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30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종합공사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추정가격</t>
        </r>
        <r>
          <rPr>
            <b/>
            <sz val="9"/>
            <color indexed="81"/>
            <rFont val="Tahoma"/>
            <family val="2"/>
          </rPr>
          <t xml:space="preserve"> 3</t>
        </r>
        <r>
          <rPr>
            <b/>
            <sz val="9"/>
            <color indexed="81"/>
            <rFont val="돋움"/>
            <family val="3"/>
            <charset val="129"/>
          </rPr>
          <t>억원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전문공사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전기공사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정보통신공사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소방공사
</t>
        </r>
        <r>
          <rPr>
            <b/>
            <sz val="9"/>
            <color indexed="81"/>
            <rFont val="Tahoma"/>
            <family val="2"/>
          </rPr>
          <t xml:space="preserve">4) 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MS Gothic"/>
            <family val="3"/>
            <charset val="128"/>
          </rPr>
          <t>･</t>
        </r>
        <r>
          <rPr>
            <b/>
            <sz val="9"/>
            <color indexed="81"/>
            <rFont val="돋움"/>
            <family val="3"/>
            <charset val="129"/>
          </rPr>
          <t>허가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환경영향평가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행정절차는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완료되어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함</t>
        </r>
        <r>
          <rPr>
            <b/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R14" authorId="0" shapeId="0" xr:uid="{00000000-0006-0000-0200-000001000000}">
      <text>
        <r>
          <rPr>
            <b/>
            <sz val="12"/>
            <color indexed="81"/>
            <rFont val="Tahoma"/>
            <family val="2"/>
          </rPr>
          <t xml:space="preserve">- </t>
        </r>
        <r>
          <rPr>
            <b/>
            <sz val="12"/>
            <color indexed="81"/>
            <rFont val="돋움"/>
            <family val="3"/>
            <charset val="129"/>
          </rPr>
          <t>설비투자비의</t>
        </r>
        <r>
          <rPr>
            <b/>
            <sz val="12"/>
            <color indexed="81"/>
            <rFont val="Tahoma"/>
            <family val="2"/>
          </rPr>
          <t xml:space="preserve"> 30%~70%</t>
        </r>
        <r>
          <rPr>
            <b/>
            <sz val="12"/>
            <color indexed="81"/>
            <rFont val="돋움"/>
            <family val="3"/>
            <charset val="129"/>
          </rPr>
          <t>이내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지원</t>
        </r>
        <r>
          <rPr>
            <b/>
            <sz val="12"/>
            <color indexed="81"/>
            <rFont val="Tahoma"/>
            <family val="2"/>
          </rPr>
          <t xml:space="preserve"> 
- </t>
        </r>
        <r>
          <rPr>
            <b/>
            <sz val="12"/>
            <color indexed="81"/>
            <rFont val="돋움"/>
            <family val="3"/>
            <charset val="129"/>
          </rPr>
          <t>사업장별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최대지원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한도</t>
        </r>
        <r>
          <rPr>
            <b/>
            <sz val="11"/>
            <color indexed="81"/>
            <rFont val="Tahoma"/>
            <family val="2"/>
          </rPr>
          <t xml:space="preserve"> (</t>
        </r>
        <r>
          <rPr>
            <b/>
            <sz val="11"/>
            <color indexed="81"/>
            <rFont val="돋움"/>
            <family val="3"/>
            <charset val="129"/>
          </rPr>
          <t>감축설비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사업장별</t>
        </r>
        <r>
          <rPr>
            <b/>
            <sz val="11"/>
            <color indexed="81"/>
            <rFont val="Tahoma"/>
            <family val="2"/>
          </rPr>
          <t xml:space="preserve"> 60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업체별</t>
        </r>
        <r>
          <rPr>
            <b/>
            <sz val="11"/>
            <color indexed="81"/>
            <rFont val="Tahoma"/>
            <family val="2"/>
          </rPr>
          <t xml:space="preserve"> 100</t>
        </r>
        <r>
          <rPr>
            <b/>
            <sz val="11"/>
            <color indexed="81"/>
            <rFont val="돋움"/>
            <family val="3"/>
            <charset val="129"/>
          </rPr>
          <t>억원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청정연료전환</t>
        </r>
        <r>
          <rPr>
            <b/>
            <sz val="11"/>
            <color indexed="81"/>
            <rFont val="Tahoma"/>
            <family val="2"/>
          </rPr>
          <t xml:space="preserve"> : </t>
        </r>
        <r>
          <rPr>
            <b/>
            <sz val="11"/>
            <color indexed="81"/>
            <rFont val="돋움"/>
            <family val="3"/>
            <charset val="129"/>
          </rPr>
          <t>예산범위</t>
        </r>
        <r>
          <rPr>
            <b/>
            <sz val="11"/>
            <color indexed="81"/>
            <rFont val="Tahoma"/>
            <family val="2"/>
          </rPr>
          <t>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  <author>user</author>
  </authors>
  <commentList>
    <comment ref="E5" authorId="0" shapeId="0" xr:uid="{00000000-0006-0000-0300-000001000000}">
      <text>
        <r>
          <rPr>
            <b/>
            <sz val="12"/>
            <color indexed="10"/>
            <rFont val="맑은 고딕"/>
            <family val="3"/>
            <charset val="129"/>
          </rPr>
          <t xml:space="preserve">- 설비투자비의 30%~70%이내 지원 
- 사업장별 최대지원 한도 </t>
        </r>
        <r>
          <rPr>
            <b/>
            <sz val="11"/>
            <color indexed="10"/>
            <rFont val="맑은 고딕"/>
            <family val="3"/>
            <charset val="129"/>
          </rPr>
          <t>(감축설비 : 사업장별 60억원, 업체별 100억원)</t>
        </r>
      </text>
    </comment>
    <comment ref="J9" authorId="1" shapeId="0" xr:uid="{00000000-0006-0000-0300-000002000000}">
      <text>
        <r>
          <rPr>
            <b/>
            <sz val="9"/>
            <color indexed="81"/>
            <rFont val="돋움"/>
            <family val="3"/>
            <charset val="129"/>
          </rPr>
          <t>아래의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세부산출내역에서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v(^</t>
        </r>
        <r>
          <rPr>
            <b/>
            <sz val="9"/>
            <color indexed="81"/>
            <rFont val="돋움"/>
            <family val="3"/>
            <charset val="129"/>
          </rPr>
          <t>ㅁ</t>
        </r>
        <r>
          <rPr>
            <b/>
            <sz val="9"/>
            <color indexed="81"/>
            <rFont val="Tahoma"/>
            <family val="2"/>
          </rPr>
          <t>^)v: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ㅇ연료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업종분류에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CH4, N2O </t>
        </r>
        <r>
          <rPr>
            <sz val="9"/>
            <color indexed="81"/>
            <rFont val="돋움"/>
            <family val="3"/>
            <charset val="129"/>
          </rPr>
          <t>배출계수를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적용함
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※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연소는</t>
        </r>
        <r>
          <rPr>
            <sz val="9"/>
            <color indexed="81"/>
            <rFont val="Tahoma"/>
            <family val="2"/>
          </rPr>
          <t xml:space="preserve"> CO2</t>
        </r>
        <r>
          <rPr>
            <sz val="9"/>
            <color indexed="81"/>
            <rFont val="돋움"/>
            <family val="3"/>
            <charset val="129"/>
          </rPr>
          <t>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전력은</t>
        </r>
        <r>
          <rPr>
            <sz val="9"/>
            <color indexed="81"/>
            <rFont val="Tahoma"/>
            <family val="2"/>
          </rPr>
          <t xml:space="preserve"> CO2, CH4, N2O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이유임
ㅇ일반적으로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제조업에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전환→에너지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건물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폐기물→상업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기타는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없음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v(^ㅁ^)v</author>
  </authors>
  <commentList>
    <comment ref="E7" authorId="0" shapeId="0" xr:uid="{00000000-0006-0000-0500-000001000000}">
      <text>
        <r>
          <rPr>
            <sz val="9"/>
            <color indexed="81"/>
            <rFont val="돋움"/>
            <family val="3"/>
            <charset val="129"/>
          </rPr>
          <t>우측의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비용산정에서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에너지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차이로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절감액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F7" authorId="0" shapeId="0" xr:uid="{00000000-0006-0000-0500-000002000000}">
      <text>
        <r>
          <rPr>
            <sz val="9"/>
            <color indexed="81"/>
            <rFont val="Tahoma"/>
            <family val="2"/>
          </rPr>
          <t>&lt;</t>
        </r>
        <r>
          <rPr>
            <sz val="9"/>
            <color indexed="81"/>
            <rFont val="돋움"/>
            <family val="3"/>
            <charset val="129"/>
          </rPr>
          <t>산정</t>
        </r>
        <r>
          <rPr>
            <sz val="9"/>
            <color indexed="81"/>
            <rFont val="Tahoma"/>
            <family val="2"/>
          </rPr>
          <t xml:space="preserve">tool </t>
        </r>
        <r>
          <rPr>
            <sz val="9"/>
            <color indexed="81"/>
            <rFont val="돋움"/>
            <family val="3"/>
            <charset val="129"/>
          </rPr>
          <t>배출량</t>
        </r>
        <r>
          <rPr>
            <sz val="9"/>
            <color indexed="81"/>
            <rFont val="Tahoma"/>
            <family val="2"/>
          </rPr>
          <t>,</t>
        </r>
        <r>
          <rPr>
            <sz val="9"/>
            <color indexed="81"/>
            <rFont val="돋움"/>
            <family val="3"/>
            <charset val="129"/>
          </rPr>
          <t>감축량</t>
        </r>
        <r>
          <rPr>
            <sz val="9"/>
            <color indexed="81"/>
            <rFont val="Tahoma"/>
            <family val="2"/>
          </rPr>
          <t xml:space="preserve">&gt; </t>
        </r>
        <r>
          <rPr>
            <sz val="9"/>
            <color indexed="81"/>
            <rFont val="돋움"/>
            <family val="3"/>
            <charset val="129"/>
          </rPr>
          <t>시트의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사업전·후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배출량산정결과로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감축량과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배출권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감축이익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3" authorId="0" shapeId="0" xr:uid="{00000000-0006-0000-0600-000001000000}">
      <text>
        <r>
          <rPr>
            <b/>
            <sz val="9"/>
            <color indexed="81"/>
            <rFont val="돋움"/>
            <family val="3"/>
            <charset val="129"/>
          </rPr>
          <t>체크항목을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선택</t>
        </r>
      </text>
    </comment>
  </commentList>
</comments>
</file>

<file path=xl/sharedStrings.xml><?xml version="1.0" encoding="utf-8"?>
<sst xmlns="http://schemas.openxmlformats.org/spreadsheetml/2006/main" count="1891" uniqueCount="827">
  <si>
    <t xml:space="preserve">  </t>
  </si>
  <si>
    <t>사업장의 설비 단위 계획서</t>
  </si>
  <si>
    <t>예치형</t>
  </si>
  <si>
    <t>업체명</t>
  </si>
  <si>
    <t>사업장명</t>
  </si>
  <si>
    <t>메인설비명</t>
  </si>
  <si>
    <t>계측설비명</t>
  </si>
  <si>
    <t>적용 방법론</t>
  </si>
  <si>
    <t>산정 활동자료</t>
  </si>
  <si>
    <t>연간 감축량</t>
  </si>
  <si>
    <t>투자회수기간</t>
  </si>
  <si>
    <t>계약 구분</t>
  </si>
  <si>
    <t>시공 계약</t>
  </si>
  <si>
    <t>구 분</t>
  </si>
  <si>
    <t>계약 건수</t>
    <phoneticPr fontId="2" type="noConversion"/>
  </si>
  <si>
    <t>착수 연도</t>
    <phoneticPr fontId="2" type="noConversion"/>
  </si>
  <si>
    <t>종료 연도</t>
    <phoneticPr fontId="2" type="noConversion"/>
  </si>
  <si>
    <t>천원</t>
    <phoneticPr fontId="2" type="noConversion"/>
  </si>
  <si>
    <t>물품 계약</t>
    <phoneticPr fontId="2" type="noConversion"/>
  </si>
  <si>
    <t>설비명</t>
  </si>
  <si>
    <t>tCO2-eq/yr</t>
  </si>
  <si>
    <t>개</t>
    <phoneticPr fontId="2" type="noConversion"/>
  </si>
  <si>
    <t>개</t>
    <phoneticPr fontId="2" type="noConversion"/>
  </si>
  <si>
    <t>일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</si>
  <si>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</si>
  <si>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</si>
  <si>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</si>
  <si>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년</t>
    <phoneticPr fontId="2" type="noConversion"/>
  </si>
  <si>
    <t>보조사업명
(택1)</t>
    <phoneticPr fontId="2" type="noConversion"/>
  </si>
  <si>
    <t>선택0</t>
    <phoneticPr fontId="2" type="noConversion"/>
  </si>
  <si>
    <t>구분</t>
    <phoneticPr fontId="2" type="noConversion"/>
  </si>
  <si>
    <t>선택여부</t>
    <phoneticPr fontId="2" type="noConversion"/>
  </si>
  <si>
    <t>선택항목</t>
    <phoneticPr fontId="2" type="noConversion"/>
  </si>
  <si>
    <t>선택1</t>
    <phoneticPr fontId="2" type="noConversion"/>
  </si>
  <si>
    <t>선택2</t>
    <phoneticPr fontId="2" type="noConversion"/>
  </si>
  <si>
    <t>선택2</t>
    <phoneticPr fontId="2" type="noConversion"/>
  </si>
  <si>
    <t>선택3</t>
    <phoneticPr fontId="2" type="noConversion"/>
  </si>
  <si>
    <t>선택4</t>
    <phoneticPr fontId="2" type="noConversion"/>
  </si>
  <si>
    <t>선택5</t>
    <phoneticPr fontId="2" type="noConversion"/>
  </si>
  <si>
    <t>선택6</t>
  </si>
  <si>
    <t>선택7</t>
  </si>
  <si>
    <t>합계</t>
  </si>
  <si>
    <t>㉱</t>
  </si>
  <si>
    <r>
      <t>(</t>
    </r>
    <r>
      <rPr>
        <sz val="12"/>
        <color rgb="FF000000"/>
        <rFont val="휴먼명조"/>
        <family val="1"/>
        <charset val="129"/>
      </rPr>
      <t xml:space="preserve">단위 </t>
    </r>
    <r>
      <rPr>
        <sz val="12"/>
        <color rgb="FF000000"/>
        <rFont val="HCI Poppy"/>
        <family val="2"/>
      </rPr>
      <t xml:space="preserve">: </t>
    </r>
    <r>
      <rPr>
        <sz val="12"/>
        <color rgb="FF000000"/>
        <rFont val="휴먼명조"/>
        <family val="1"/>
        <charset val="129"/>
      </rPr>
      <t>원</t>
    </r>
    <r>
      <rPr>
        <sz val="12"/>
        <color rgb="FF000000"/>
        <rFont val="HCI Poppy"/>
        <family val="2"/>
      </rPr>
      <t>)</t>
    </r>
  </si>
  <si>
    <t>금액</t>
  </si>
  <si>
    <t>비율</t>
  </si>
  <si>
    <t>보조세목</t>
  </si>
  <si>
    <t>총계</t>
  </si>
  <si>
    <t>자산취득비</t>
  </si>
  <si>
    <t>…</t>
  </si>
  <si>
    <r>
      <t>※ 계약건수에 따라 줄</t>
    </r>
    <r>
      <rPr>
        <sz val="10"/>
        <color theme="1"/>
        <rFont val="HCI Poppy"/>
        <family val="2"/>
      </rPr>
      <t>/</t>
    </r>
    <r>
      <rPr>
        <sz val="10"/>
        <color theme="1"/>
        <rFont val="휴먼명조"/>
        <family val="1"/>
        <charset val="129"/>
      </rPr>
      <t>칸 추가하고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비교견적서 제출하되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나라장터종합쇼핑몰 이용 시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게시가격으로 작성</t>
    </r>
  </si>
  <si>
    <r>
      <t>※ 국고보조금 통합관리지침 제</t>
    </r>
    <r>
      <rPr>
        <sz val="10"/>
        <color theme="1"/>
        <rFont val="HCI Poppy"/>
        <family val="2"/>
      </rPr>
      <t>21</t>
    </r>
    <r>
      <rPr>
        <sz val="10"/>
        <color theme="1"/>
        <rFont val="휴먼명조"/>
        <family val="1"/>
        <charset val="129"/>
      </rPr>
      <t>조</t>
    </r>
    <r>
      <rPr>
        <sz val="10"/>
        <color theme="1"/>
        <rFont val="HCI Poppy"/>
        <family val="2"/>
      </rPr>
      <t xml:space="preserve">, </t>
    </r>
    <r>
      <rPr>
        <sz val="10"/>
        <color theme="1"/>
        <rFont val="휴먼명조"/>
        <family val="1"/>
        <charset val="129"/>
      </rPr>
      <t>제</t>
    </r>
    <r>
      <rPr>
        <sz val="10"/>
        <color theme="1"/>
        <rFont val="HCI Poppy"/>
        <family val="2"/>
      </rPr>
      <t>22</t>
    </r>
    <r>
      <rPr>
        <sz val="10"/>
        <color theme="1"/>
        <rFont val="휴먼명조"/>
        <family val="1"/>
        <charset val="129"/>
      </rPr>
      <t>조 의거 조달청위탁 및 국가종합전자조달시스템</t>
    </r>
    <r>
      <rPr>
        <sz val="10"/>
        <color theme="1"/>
        <rFont val="HCI Poppy"/>
        <family val="2"/>
      </rPr>
      <t>(</t>
    </r>
    <r>
      <rPr>
        <sz val="10"/>
        <color theme="1"/>
        <rFont val="휴먼명조"/>
        <family val="1"/>
        <charset val="129"/>
      </rPr>
      <t>나라장터</t>
    </r>
    <r>
      <rPr>
        <sz val="10"/>
        <color theme="1"/>
        <rFont val="HCI Poppy"/>
        <family val="2"/>
      </rPr>
      <t xml:space="preserve">) </t>
    </r>
    <r>
      <rPr>
        <sz val="10"/>
        <color theme="1"/>
        <rFont val="휴먼명조"/>
        <family val="1"/>
        <charset val="129"/>
      </rPr>
      <t>이용하여 계약체결</t>
    </r>
  </si>
  <si>
    <t xml:space="preserve">□ 종합내역서 </t>
  </si>
  <si>
    <t>설비구매</t>
  </si>
  <si>
    <t>설계비</t>
  </si>
  <si>
    <t>공사비</t>
  </si>
  <si>
    <t>감리비</t>
  </si>
  <si>
    <r>
      <t xml:space="preserve">※ 비목별 </t>
    </r>
    <r>
      <rPr>
        <sz val="10"/>
        <color rgb="FF000000"/>
        <rFont val="HCI Poppy"/>
        <family val="2"/>
      </rPr>
      <t>30%</t>
    </r>
    <r>
      <rPr>
        <sz val="10"/>
        <color rgb="FF000000"/>
        <rFont val="휴먼명조"/>
        <family val="1"/>
        <charset val="129"/>
      </rPr>
      <t>이상 금액 변경 시 사업계획 변경승인을 득해야 함</t>
    </r>
  </si>
  <si>
    <r>
      <t xml:space="preserve">※ 상기 외의 보조세목은 </t>
    </r>
    <r>
      <rPr>
        <sz val="10"/>
        <color rgb="FF000000"/>
        <rFont val="HCI Poppy"/>
        <family val="2"/>
      </rPr>
      <t>‘</t>
    </r>
    <r>
      <rPr>
        <sz val="10"/>
        <color rgb="FF000000"/>
        <rFont val="휴먼명조"/>
        <family val="1"/>
        <charset val="129"/>
      </rPr>
      <t>보조사업 정산보고서 작성지침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별표</t>
    </r>
    <r>
      <rPr>
        <sz val="10"/>
        <color rgb="FF000000"/>
        <rFont val="HCI Poppy"/>
        <family val="2"/>
      </rPr>
      <t xml:space="preserve">1 </t>
    </r>
    <r>
      <rPr>
        <sz val="10"/>
        <color rgb="FF000000"/>
        <rFont val="휴먼명조"/>
        <family val="1"/>
        <charset val="129"/>
      </rPr>
      <t>보조비목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보조세목별 산정기준</t>
    </r>
    <r>
      <rPr>
        <sz val="10"/>
        <color rgb="FF000000"/>
        <rFont val="HCI Poppy"/>
        <family val="2"/>
      </rPr>
      <t>)’</t>
    </r>
    <r>
      <rPr>
        <sz val="10"/>
        <color rgb="FF000000"/>
        <rFont val="휴먼명조"/>
        <family val="1"/>
        <charset val="129"/>
      </rPr>
      <t>을 참고하여 양식에 추가 작성</t>
    </r>
  </si>
  <si>
    <t>보조 
비목</t>
    <phoneticPr fontId="2" type="noConversion"/>
  </si>
  <si>
    <t>보조
세목</t>
    <phoneticPr fontId="2" type="noConversion"/>
  </si>
  <si>
    <t>자기부담금</t>
    <phoneticPr fontId="2" type="noConversion"/>
  </si>
  <si>
    <t>산출내역</t>
    <phoneticPr fontId="2" type="noConversion"/>
  </si>
  <si>
    <t>㉳</t>
  </si>
  <si>
    <t>첨부 서류</t>
  </si>
  <si>
    <t>구분</t>
  </si>
  <si>
    <t>No.</t>
  </si>
  <si>
    <t>첨부서류</t>
  </si>
  <si>
    <t>체크사항</t>
  </si>
  <si>
    <t>제출</t>
  </si>
  <si>
    <t>미제출</t>
  </si>
  <si>
    <t>법인등기부등본</t>
  </si>
  <si>
    <t>사업자등록증</t>
  </si>
  <si>
    <t>법인인감증명서</t>
  </si>
  <si>
    <t>사업장 정보
관련 공통 서류</t>
    <phoneticPr fontId="2" type="noConversion"/>
  </si>
  <si>
    <t>신청 설비
관련서류</t>
    <phoneticPr fontId="2" type="noConversion"/>
  </si>
  <si>
    <t>선택8</t>
  </si>
  <si>
    <t>선택9</t>
  </si>
  <si>
    <t>선택10</t>
  </si>
  <si>
    <t>선택11</t>
  </si>
  <si>
    <t>선택12</t>
  </si>
  <si>
    <t>선택13</t>
  </si>
  <si>
    <t>선택14</t>
  </si>
  <si>
    <t>선택15</t>
  </si>
  <si>
    <t>적용업종 :</t>
    <phoneticPr fontId="2" type="noConversion"/>
  </si>
  <si>
    <t>제조업</t>
  </si>
  <si>
    <t xml:space="preserve"> - 연료연소, 전기사용 등에 대한 사업전, 후의 배출량을 산정하여 예상 감축량 산정 </t>
    <phoneticPr fontId="2" type="noConversion"/>
  </si>
  <si>
    <t>■ 배출량 산정 기초자료(발열량, 배출계수 등)</t>
    <phoneticPr fontId="2" type="noConversion"/>
  </si>
  <si>
    <t xml:space="preserve"> - 배출활동, 적용Tier, 활동자료, 활동자료사용량, 단위 등 입력시 배출량 자동산정</t>
    <phoneticPr fontId="2" type="noConversion"/>
  </si>
  <si>
    <t>Ⅰ. 신청 사업별 감축량 산정</t>
    <phoneticPr fontId="2" type="noConversion"/>
  </si>
  <si>
    <t>Ⅱ. 설비별 사업전·후 배출량 산정</t>
    <phoneticPr fontId="2" type="noConversion"/>
  </si>
  <si>
    <t xml:space="preserve"> - Tier3(업체가 개발한 배출계수 사용) 적용시에는 순발열량과 온실가스별 배출계수를 업체가 제시한 값으로 인정(→ 반드시 단위환산 확인)</t>
    <phoneticPr fontId="2" type="noConversion"/>
  </si>
  <si>
    <t>※ DB 또는 지침에 정의 되지 않은 활동자료에 대해서 지침(또는 DB)상의 활동자료로 적용하고자 할 경우</t>
    <phoneticPr fontId="2" type="noConversion"/>
  </si>
  <si>
    <t>E : Energy</t>
    <phoneticPr fontId="2" type="noConversion"/>
  </si>
  <si>
    <t xml:space="preserve"> - " Ⅱ. 설비별 사업전·후 배출량"을 기준으로 해당 사업의 감축량 산정</t>
    <phoneticPr fontId="2" type="noConversion"/>
  </si>
  <si>
    <t xml:space="preserve">  - 배출활동 : 고정연소, 간접배출_전기, 간접배출_열, 이동연소</t>
    <phoneticPr fontId="2" type="noConversion"/>
  </si>
  <si>
    <t xml:space="preserve"> - 시행전, 후의 배출량 산정자료 입력시 배출량 및 감축량 산정됨(공정배출개선의 경우 공정별 별도의 산정시트 활용 필요)</t>
    <phoneticPr fontId="2" type="noConversion"/>
  </si>
  <si>
    <t>□ 연소관련 배출계수</t>
    <phoneticPr fontId="2" type="noConversion"/>
  </si>
  <si>
    <t xml:space="preserve">  - 아래 표에 입력된 코드명과 적용할 활동자료코드명을 작성해서 적용하도록 할 것</t>
    <phoneticPr fontId="2" type="noConversion"/>
  </si>
  <si>
    <t>V : Volume</t>
    <phoneticPr fontId="2" type="noConversion"/>
  </si>
  <si>
    <t>기본정보</t>
    <phoneticPr fontId="2" type="noConversion"/>
  </si>
  <si>
    <t>감축량(RE)</t>
    <phoneticPr fontId="2" type="noConversion"/>
  </si>
  <si>
    <t>배출량</t>
    <phoneticPr fontId="2" type="noConversion"/>
  </si>
  <si>
    <t>활동자료코드명</t>
    <phoneticPr fontId="2" type="noConversion"/>
  </si>
  <si>
    <t>기본배출계수 적용(환경부고시 제2019-245호)</t>
    <phoneticPr fontId="2" type="noConversion"/>
  </si>
  <si>
    <t xml:space="preserve">  ex) 아래 "슬러지(고체)"의 경우 연소관련 배출계수 표에 없는 활동자료 코드명으로, "기타 고체연료"를 적용하기 위해 작성됨</t>
    <phoneticPr fontId="2" type="noConversion"/>
  </si>
  <si>
    <t>W : Weight</t>
    <phoneticPr fontId="2" type="noConversion"/>
  </si>
  <si>
    <t>(A)</t>
    <phoneticPr fontId="2" type="noConversion"/>
  </si>
  <si>
    <t>(B)</t>
    <phoneticPr fontId="2" type="noConversion"/>
  </si>
  <si>
    <t>(C)</t>
    <phoneticPr fontId="2" type="noConversion"/>
  </si>
  <si>
    <t>(D=A-B-C)</t>
    <phoneticPr fontId="2" type="noConversion"/>
  </si>
  <si>
    <t>(A - B) ÷ A × 100</t>
    <phoneticPr fontId="2" type="noConversion"/>
  </si>
  <si>
    <t>총괄</t>
    <phoneticPr fontId="2" type="noConversion"/>
  </si>
  <si>
    <t>사업시행 이전 배출량(BE)</t>
    <phoneticPr fontId="2" type="noConversion"/>
  </si>
  <si>
    <t>사업시행 이후 배출량(PE)</t>
    <phoneticPr fontId="2" type="noConversion"/>
  </si>
  <si>
    <t>발열량</t>
    <phoneticPr fontId="2" type="noConversion"/>
  </si>
  <si>
    <t>CH₄ 배출계수</t>
  </si>
  <si>
    <t>N₂O 배출계수</t>
  </si>
  <si>
    <t>□ 활동자료코드명 재분류 or 재정의</t>
    <phoneticPr fontId="2" type="noConversion"/>
  </si>
  <si>
    <t>□ 산화계수</t>
    <phoneticPr fontId="2" type="noConversion"/>
  </si>
  <si>
    <t>◆ 기준단위 확인후 단위 환산 등 추가 검토할 것</t>
    <phoneticPr fontId="2" type="noConversion"/>
  </si>
  <si>
    <t>관리번호</t>
  </si>
  <si>
    <t>사업명(시설명)</t>
  </si>
  <si>
    <t>적용업종
- CH4, N2O 배출계수관련</t>
    <phoneticPr fontId="2" type="noConversion"/>
  </si>
  <si>
    <t>사업전배출량
(BE)</t>
    <phoneticPr fontId="2" type="noConversion"/>
  </si>
  <si>
    <t>사업후배출량
(PE)</t>
    <phoneticPr fontId="2" type="noConversion"/>
  </si>
  <si>
    <t>누출량
(LE)</t>
    <phoneticPr fontId="2" type="noConversion"/>
  </si>
  <si>
    <t>감축량
(RE)</t>
    <phoneticPr fontId="2" type="noConversion"/>
  </si>
  <si>
    <t>감축률</t>
    <phoneticPr fontId="2" type="noConversion"/>
  </si>
  <si>
    <t>관리번호</t>
    <phoneticPr fontId="2" type="noConversion"/>
  </si>
  <si>
    <t>사업전배출량</t>
    <phoneticPr fontId="2" type="noConversion"/>
  </si>
  <si>
    <t>사업후배출량</t>
    <phoneticPr fontId="2" type="noConversion"/>
  </si>
  <si>
    <t>①
배출활동명</t>
    <phoneticPr fontId="2" type="noConversion"/>
  </si>
  <si>
    <t>②
적용
TIER</t>
    <phoneticPr fontId="2" type="noConversion"/>
  </si>
  <si>
    <t>③
활동자료명</t>
    <phoneticPr fontId="2" type="noConversion"/>
  </si>
  <si>
    <t>산정방법</t>
    <phoneticPr fontId="2" type="noConversion"/>
  </si>
  <si>
    <t>④
활동자료
사용량</t>
    <phoneticPr fontId="2" type="noConversion"/>
  </si>
  <si>
    <t>⑤
활동자료 단위</t>
    <phoneticPr fontId="2" type="noConversion"/>
  </si>
  <si>
    <t>활동자료단위
(기준단위)</t>
    <phoneticPr fontId="2" type="noConversion"/>
  </si>
  <si>
    <t>순발열량
Tier1,2</t>
    <phoneticPr fontId="2" type="noConversion"/>
  </si>
  <si>
    <t>순발열량
Tier3</t>
    <phoneticPr fontId="2" type="noConversion"/>
  </si>
  <si>
    <t>발열량
단위</t>
    <phoneticPr fontId="2" type="noConversion"/>
  </si>
  <si>
    <t>배출계수
(CO2)
Tier1, 2</t>
    <phoneticPr fontId="2" type="noConversion"/>
  </si>
  <si>
    <t>배출계수
(CO2)
Tier3</t>
    <phoneticPr fontId="2" type="noConversion"/>
  </si>
  <si>
    <t>배출계수단위
(CO2)</t>
    <phoneticPr fontId="2" type="noConversion"/>
  </si>
  <si>
    <t>배출계수
(CH4)
Tier1, 2</t>
    <phoneticPr fontId="2" type="noConversion"/>
  </si>
  <si>
    <t>배출계수
(CH4)
Tier3</t>
    <phoneticPr fontId="2" type="noConversion"/>
  </si>
  <si>
    <t>배출계수단위
(CH4)</t>
  </si>
  <si>
    <t>배출계수
(N2O)
Tier1, 2</t>
    <phoneticPr fontId="2" type="noConversion"/>
  </si>
  <si>
    <t>배출계수
(N2O)
Tier3</t>
    <phoneticPr fontId="2" type="noConversion"/>
  </si>
  <si>
    <t>배출계수단위
(N2O)</t>
  </si>
  <si>
    <t>산화
계수</t>
    <phoneticPr fontId="2" type="noConversion"/>
  </si>
  <si>
    <t>배출활동명</t>
  </si>
  <si>
    <t>적용
TIER</t>
  </si>
  <si>
    <t>활동자료명</t>
  </si>
  <si>
    <t>산정방법</t>
    <phoneticPr fontId="2" type="noConversion"/>
  </si>
  <si>
    <t>활동자료
사용량</t>
  </si>
  <si>
    <t>활동자료 단위</t>
  </si>
  <si>
    <t>활동자료단위
(기준단위)</t>
  </si>
  <si>
    <t>순발열량
Tier1,2</t>
  </si>
  <si>
    <t>순발열량
Tier3</t>
  </si>
  <si>
    <t>발열량
단위</t>
  </si>
  <si>
    <t>배출계수
(CO2)
Tier1, 2</t>
  </si>
  <si>
    <t>배출계수
(CO2)
Tier3</t>
  </si>
  <si>
    <t>배출계수단위
(CO2)</t>
  </si>
  <si>
    <t>배출계수
(CH4)
Tier1, 2</t>
  </si>
  <si>
    <t>배출계수
(CH4)
Tier3</t>
  </si>
  <si>
    <t>배출계수
(N2O)
Tier1, 2</t>
  </si>
  <si>
    <t>배출계수
(N2O)
Tier3</t>
  </si>
  <si>
    <t>산화
계수</t>
  </si>
  <si>
    <t>연료구분</t>
    <phoneticPr fontId="2" type="noConversion"/>
  </si>
  <si>
    <t>활동자료코드명
(Key)</t>
    <phoneticPr fontId="2" type="noConversion"/>
  </si>
  <si>
    <t>연료명
[별표 12]</t>
    <phoneticPr fontId="2" type="noConversion"/>
  </si>
  <si>
    <t>단위</t>
  </si>
  <si>
    <t>총</t>
    <phoneticPr fontId="2" type="noConversion"/>
  </si>
  <si>
    <t>순</t>
    <phoneticPr fontId="2" type="noConversion"/>
  </si>
  <si>
    <t>석유
환산계수</t>
    <phoneticPr fontId="2" type="noConversion"/>
  </si>
  <si>
    <t>연료명(IPCC G/L)</t>
    <phoneticPr fontId="45" type="noConversion"/>
  </si>
  <si>
    <t>발열량 단위</t>
    <phoneticPr fontId="45" type="noConversion"/>
  </si>
  <si>
    <t>총발열량</t>
    <phoneticPr fontId="45" type="noConversion"/>
  </si>
  <si>
    <t>순발열량</t>
    <phoneticPr fontId="45" type="noConversion"/>
  </si>
  <si>
    <t>배출계수단위</t>
    <phoneticPr fontId="2" type="noConversion"/>
  </si>
  <si>
    <t>CO₂
 배출계수</t>
  </si>
  <si>
    <t>에너지산업</t>
    <phoneticPr fontId="45" type="noConversion"/>
  </si>
  <si>
    <t>제조,건설</t>
    <phoneticPr fontId="45" type="noConversion"/>
  </si>
  <si>
    <t>상업,공공</t>
    <phoneticPr fontId="45" type="noConversion"/>
  </si>
  <si>
    <t>가정,기타</t>
    <phoneticPr fontId="45" type="noConversion"/>
  </si>
  <si>
    <t>에너지,제조,건설</t>
    <phoneticPr fontId="45" type="noConversion"/>
  </si>
  <si>
    <t>상업,공공,가정,기타</t>
    <phoneticPr fontId="45" type="noConversion"/>
  </si>
  <si>
    <t>연료명</t>
    <phoneticPr fontId="2" type="noConversion"/>
  </si>
  <si>
    <t>국내에너지원기준</t>
    <phoneticPr fontId="2" type="noConversion"/>
  </si>
  <si>
    <t>활동자료코드명(분류X)</t>
    <phoneticPr fontId="2" type="noConversion"/>
  </si>
  <si>
    <t>활동자료코드명(재부여)</t>
    <phoneticPr fontId="2" type="noConversion"/>
  </si>
  <si>
    <t>Tier1</t>
    <phoneticPr fontId="2" type="noConversion"/>
  </si>
  <si>
    <t>Tier2</t>
    <phoneticPr fontId="2" type="noConversion"/>
  </si>
  <si>
    <t>Tier3</t>
    <phoneticPr fontId="2" type="noConversion"/>
  </si>
  <si>
    <t>비고</t>
    <phoneticPr fontId="2" type="noConversion"/>
  </si>
  <si>
    <t>활동자료단위</t>
    <phoneticPr fontId="2" type="noConversion"/>
  </si>
  <si>
    <t>분류</t>
    <phoneticPr fontId="2" type="noConversion"/>
  </si>
  <si>
    <t>단위 정규화</t>
    <phoneticPr fontId="2" type="noConversion"/>
  </si>
  <si>
    <t>정규단위</t>
    <phoneticPr fontId="2" type="noConversion"/>
  </si>
  <si>
    <t>합계</t>
    <phoneticPr fontId="2" type="noConversion"/>
  </si>
  <si>
    <t>액체</t>
    <phoneticPr fontId="2" type="noConversion"/>
  </si>
  <si>
    <t>Tier1
배출계수
[별표10]</t>
    <phoneticPr fontId="2" type="noConversion"/>
  </si>
  <si>
    <t>고정</t>
    <phoneticPr fontId="2" type="noConversion"/>
  </si>
  <si>
    <t>B-A유</t>
  </si>
  <si>
    <t>TJ/1000m³</t>
  </si>
  <si>
    <t>kgGHG/TJ</t>
  </si>
  <si>
    <t>잔여연료유</t>
    <phoneticPr fontId="2" type="noConversion"/>
  </si>
  <si>
    <t>슬러지(고체)</t>
  </si>
  <si>
    <t>기타 고체연료</t>
    <phoneticPr fontId="2" type="noConversion"/>
  </si>
  <si>
    <t>고체</t>
    <phoneticPr fontId="2" type="noConversion"/>
  </si>
  <si>
    <t xml:space="preserve"> - Tier2(발전:0.99, 기타:0.98)</t>
    <phoneticPr fontId="2" type="noConversion"/>
  </si>
  <si>
    <t>MWh</t>
  </si>
  <si>
    <t>E</t>
    <phoneticPr fontId="2" type="noConversion"/>
  </si>
  <si>
    <t>MWh</t>
    <phoneticPr fontId="2" type="noConversion"/>
  </si>
  <si>
    <t>간접배출</t>
  </si>
  <si>
    <t>액체</t>
    <phoneticPr fontId="2" type="noConversion"/>
  </si>
  <si>
    <t>B-B유</t>
  </si>
  <si>
    <t>잔여연료유</t>
    <phoneticPr fontId="2" type="noConversion"/>
  </si>
  <si>
    <t>RDF (화석연료)</t>
  </si>
  <si>
    <t>SRF(화석연료)</t>
  </si>
  <si>
    <t>기체</t>
    <phoneticPr fontId="2" type="noConversion"/>
  </si>
  <si>
    <t>kWh</t>
  </si>
  <si>
    <t>E</t>
    <phoneticPr fontId="2" type="noConversion"/>
  </si>
  <si>
    <t>MWh</t>
    <phoneticPr fontId="2" type="noConversion"/>
  </si>
  <si>
    <t>고정</t>
    <phoneticPr fontId="2" type="noConversion"/>
  </si>
  <si>
    <t>B-C유</t>
  </si>
  <si>
    <t>잔여연료유</t>
    <phoneticPr fontId="2" type="noConversion"/>
  </si>
  <si>
    <t>RDF(바이오매스)</t>
  </si>
  <si>
    <t>BIO-SRF(바이오매스)</t>
  </si>
  <si>
    <t>TJ</t>
  </si>
  <si>
    <t>TJ</t>
    <phoneticPr fontId="2" type="noConversion"/>
  </si>
  <si>
    <t>고체연료연소</t>
  </si>
  <si>
    <t>연료용 유연탄</t>
  </si>
  <si>
    <t>ton</t>
  </si>
  <si>
    <t>기체연료연소</t>
  </si>
  <si>
    <t>도시가스(LNG)</t>
  </si>
  <si>
    <t>천 ㎥</t>
  </si>
  <si>
    <t>기타 고체바이오매스</t>
  </si>
  <si>
    <t>TJ/Gg</t>
  </si>
  <si>
    <t>도시 폐기물(바이오매스)</t>
    <phoneticPr fontId="2" type="noConversion"/>
  </si>
  <si>
    <t>폐유</t>
    <phoneticPr fontId="2" type="noConversion"/>
  </si>
  <si>
    <t>폐유(폐석유제품)</t>
    <phoneticPr fontId="2" type="noConversion"/>
  </si>
  <si>
    <t>이동(항공)</t>
    <phoneticPr fontId="2" type="noConversion"/>
  </si>
  <si>
    <t>GJ</t>
  </si>
  <si>
    <t>RPF (화석연료)</t>
  </si>
  <si>
    <t>도시 폐기물(비-바이오매스 부분)</t>
  </si>
  <si>
    <t>도시 폐기물(비바이오매스)</t>
    <phoneticPr fontId="2" type="noConversion"/>
  </si>
  <si>
    <t>도시폐기물(바이오매스)</t>
    <phoneticPr fontId="2" type="noConversion"/>
  </si>
  <si>
    <t>이동(도록)</t>
    <phoneticPr fontId="2" type="noConversion"/>
  </si>
  <si>
    <t>MJ</t>
  </si>
  <si>
    <t>SRF(바이오매스)</t>
    <phoneticPr fontId="2" type="noConversion"/>
  </si>
  <si>
    <t>V</t>
    <phoneticPr fontId="2" type="noConversion"/>
  </si>
  <si>
    <t>가스/디젤 오일(경유)</t>
  </si>
  <si>
    <t>가스/디젤 오일</t>
    <phoneticPr fontId="2" type="noConversion"/>
  </si>
  <si>
    <t>경유</t>
    <phoneticPr fontId="2" type="noConversion"/>
  </si>
  <si>
    <t>□ 지구온난화지수(GWP)</t>
    <phoneticPr fontId="2" type="noConversion"/>
  </si>
  <si>
    <t>㎥</t>
  </si>
  <si>
    <t>갈탄</t>
  </si>
  <si>
    <t>갈탄</t>
    <phoneticPr fontId="2" type="noConversion"/>
  </si>
  <si>
    <t>구분</t>
    <phoneticPr fontId="2" type="noConversion"/>
  </si>
  <si>
    <t>GWP</t>
    <phoneticPr fontId="2" type="noConversion"/>
  </si>
  <si>
    <t>N㎥</t>
  </si>
  <si>
    <t>국내무연탄</t>
  </si>
  <si>
    <t>무연탄</t>
    <phoneticPr fontId="2" type="noConversion"/>
  </si>
  <si>
    <t>국내무연탄</t>
    <phoneticPr fontId="2" type="noConversion"/>
  </si>
  <si>
    <t>CO2</t>
    <phoneticPr fontId="2" type="noConversion"/>
  </si>
  <si>
    <t>㎘</t>
  </si>
  <si>
    <t>CH4</t>
    <phoneticPr fontId="2" type="noConversion"/>
  </si>
  <si>
    <t>ℓ</t>
  </si>
  <si>
    <t>기타 고체연료</t>
  </si>
  <si>
    <t>N2O</t>
    <phoneticPr fontId="2" type="noConversion"/>
  </si>
  <si>
    <t>W</t>
    <phoneticPr fontId="2" type="noConversion"/>
  </si>
  <si>
    <t>ton</t>
    <phoneticPr fontId="2" type="noConversion"/>
  </si>
  <si>
    <t>기타 기체연료</t>
  </si>
  <si>
    <t>기체 바이오매스</t>
  </si>
  <si>
    <t>기체바이오매스</t>
    <phoneticPr fontId="2" type="noConversion"/>
  </si>
  <si>
    <t>기타바이오가스</t>
    <phoneticPr fontId="2" type="noConversion"/>
  </si>
  <si>
    <t>HFCs</t>
    <phoneticPr fontId="2" type="noConversion"/>
  </si>
  <si>
    <t>kg</t>
  </si>
  <si>
    <t>기타 바이오가스</t>
  </si>
  <si>
    <t>PFCs</t>
    <phoneticPr fontId="2" type="noConversion"/>
  </si>
  <si>
    <t>t-Waste</t>
  </si>
  <si>
    <t>기타 액체바이오연료</t>
  </si>
  <si>
    <t>액체바이오연료</t>
    <phoneticPr fontId="2" type="noConversion"/>
  </si>
  <si>
    <t>기타액체바이오연료</t>
    <phoneticPr fontId="2" type="noConversion"/>
  </si>
  <si>
    <t>SF6</t>
    <phoneticPr fontId="2" type="noConversion"/>
  </si>
  <si>
    <t>m³/h</t>
  </si>
  <si>
    <t>기타</t>
    <phoneticPr fontId="2" type="noConversion"/>
  </si>
  <si>
    <t>기타석유제품(기타)</t>
  </si>
  <si>
    <t>기타석유제품</t>
  </si>
  <si>
    <t>기타석유제품</t>
    <phoneticPr fontId="2" type="noConversion"/>
  </si>
  <si>
    <t>재생유(WDF)</t>
    <phoneticPr fontId="2" type="noConversion"/>
  </si>
  <si>
    <t>PPM</t>
  </si>
  <si>
    <t>기타액체연료</t>
  </si>
  <si>
    <t>잔여 연료유</t>
  </si>
  <si>
    <t>MJ/ℓ</t>
  </si>
  <si>
    <t>□ 업종구분(CH4, N2O 배출계수 적용)</t>
    <phoneticPr fontId="2" type="noConversion"/>
  </si>
  <si>
    <t>m²</t>
  </si>
  <si>
    <t>나프타(납사)</t>
  </si>
  <si>
    <t>나프타</t>
    <phoneticPr fontId="2" type="noConversion"/>
  </si>
  <si>
    <t>납사</t>
    <phoneticPr fontId="2" type="noConversion"/>
  </si>
  <si>
    <t>tCO2/t</t>
  </si>
  <si>
    <t>천연가스(LNG)</t>
  </si>
  <si>
    <t>TJ/10^6Nm3</t>
    <phoneticPr fontId="2" type="noConversion"/>
  </si>
  <si>
    <t>천연가스</t>
    <phoneticPr fontId="2" type="noConversion"/>
  </si>
  <si>
    <t>천연가스(LNG)</t>
    <phoneticPr fontId="2" type="noConversion"/>
  </si>
  <si>
    <t>에너지</t>
    <phoneticPr fontId="2" type="noConversion"/>
  </si>
  <si>
    <t>mgBOD/L</t>
  </si>
  <si>
    <t>도시가스(LPG)</t>
  </si>
  <si>
    <t>액화석유가스</t>
  </si>
  <si>
    <t>TJ/10^6Nm3</t>
  </si>
  <si>
    <t>액화석유가스</t>
    <phoneticPr fontId="2" type="noConversion"/>
  </si>
  <si>
    <t>LPG</t>
    <phoneticPr fontId="2" type="noConversion"/>
  </si>
  <si>
    <t>제조업</t>
    <phoneticPr fontId="2" type="noConversion"/>
  </si>
  <si>
    <t>단위변경필요</t>
  </si>
  <si>
    <t>도시폐기물</t>
  </si>
  <si>
    <t>상업</t>
    <phoneticPr fontId="2" type="noConversion"/>
  </si>
  <si>
    <t>tCH₄</t>
  </si>
  <si>
    <t>매립지가스(LFG)</t>
  </si>
  <si>
    <t>매립지가스</t>
    <phoneticPr fontId="2" type="noConversion"/>
  </si>
  <si>
    <t>시간(h)</t>
  </si>
  <si>
    <t>메탄(CH4)</t>
  </si>
  <si>
    <t>기타</t>
  </si>
  <si>
    <t>목재/목재 폐기물</t>
  </si>
  <si>
    <t>목재/목재폐기물</t>
    <phoneticPr fontId="2" type="noConversion"/>
  </si>
  <si>
    <t>대</t>
  </si>
  <si>
    <t>목탄</t>
  </si>
  <si>
    <t>목탄</t>
    <phoneticPr fontId="2" type="noConversion"/>
  </si>
  <si>
    <t>tCO2/t-Waste</t>
  </si>
  <si>
    <t>바이오디젤</t>
  </si>
  <si>
    <t>바이오디젤</t>
    <phoneticPr fontId="2" type="noConversion"/>
  </si>
  <si>
    <t>백유(용제)</t>
  </si>
  <si>
    <t>용제</t>
  </si>
  <si>
    <t>백유</t>
    <phoneticPr fontId="2" type="noConversion"/>
  </si>
  <si>
    <t>용제</t>
    <phoneticPr fontId="2" type="noConversion"/>
  </si>
  <si>
    <t>등유</t>
    <phoneticPr fontId="2" type="noConversion"/>
  </si>
  <si>
    <t>기타등유</t>
    <phoneticPr fontId="2" type="noConversion"/>
  </si>
  <si>
    <t>부생연료1호</t>
  </si>
  <si>
    <t>기타 등유</t>
  </si>
  <si>
    <t>부생연료2호</t>
  </si>
  <si>
    <t>B-C유</t>
    <phoneticPr fontId="2" type="noConversion"/>
  </si>
  <si>
    <t>부탄</t>
  </si>
  <si>
    <t>액화석유가스(LPG)</t>
  </si>
  <si>
    <t>석유코크(고체)</t>
  </si>
  <si>
    <t>석유코크</t>
  </si>
  <si>
    <t>수입무연탄(연료)</t>
  </si>
  <si>
    <t>수입무연탄</t>
  </si>
  <si>
    <t>수입무연탄(원료)</t>
  </si>
  <si>
    <t>슬러지가스</t>
  </si>
  <si>
    <t>슬러지가스</t>
    <phoneticPr fontId="2" type="noConversion"/>
  </si>
  <si>
    <t>실내 등유</t>
  </si>
  <si>
    <t>기타 등유</t>
    <phoneticPr fontId="2" type="noConversion"/>
  </si>
  <si>
    <t>기타 역청탄</t>
    <phoneticPr fontId="2" type="noConversion"/>
  </si>
  <si>
    <t>연료용 유연탄</t>
    <phoneticPr fontId="2" type="noConversion"/>
  </si>
  <si>
    <t>우드칩</t>
  </si>
  <si>
    <t>MJ/kg</t>
  </si>
  <si>
    <t>유기성폐기물</t>
  </si>
  <si>
    <t>윤활유</t>
  </si>
  <si>
    <t>윤활유</t>
    <phoneticPr fontId="2" type="noConversion"/>
  </si>
  <si>
    <t>정제원료(반제품)</t>
  </si>
  <si>
    <t>정제원료</t>
  </si>
  <si>
    <t>정제 원료</t>
    <phoneticPr fontId="2" type="noConversion"/>
  </si>
  <si>
    <t>천연가스</t>
  </si>
  <si>
    <t>코크스(석탄)</t>
  </si>
  <si>
    <t>코크스</t>
    <phoneticPr fontId="2" type="noConversion"/>
  </si>
  <si>
    <t>코크스(석탄)</t>
    <phoneticPr fontId="2" type="noConversion"/>
  </si>
  <si>
    <t>폐가스</t>
  </si>
  <si>
    <t>폐목재/톱밥</t>
  </si>
  <si>
    <t>폐유(폐석유제품)</t>
  </si>
  <si>
    <t>폐플라스틱/폐합성수지</t>
  </si>
  <si>
    <t>프로판</t>
  </si>
  <si>
    <t>혼합된 산업폐기물</t>
  </si>
  <si>
    <t>산업 폐기물</t>
  </si>
  <si>
    <t>배출계수
[별표6]</t>
    <phoneticPr fontId="2" type="noConversion"/>
  </si>
  <si>
    <t>이동(도로)</t>
    <phoneticPr fontId="2" type="noConversion"/>
  </si>
  <si>
    <t>휘발유</t>
  </si>
  <si>
    <t>가솔린(자동차용 가솔린,휘발유)</t>
  </si>
  <si>
    <t>가스/디젤 오일(경유)</t>
    <phoneticPr fontId="2" type="noConversion"/>
  </si>
  <si>
    <t>CNG(차량)</t>
  </si>
  <si>
    <t>LNG(차량)</t>
  </si>
  <si>
    <t>LPG(차량)</t>
  </si>
  <si>
    <t>제트용 등유(JET A-1, JP-8)</t>
  </si>
  <si>
    <t>제트용 등유</t>
  </si>
  <si>
    <t>간접배출</t>
    <phoneticPr fontId="2" type="noConversion"/>
  </si>
  <si>
    <t>간접</t>
    <phoneticPr fontId="2" type="noConversion"/>
  </si>
  <si>
    <t>전력</t>
    <phoneticPr fontId="2" type="noConversion"/>
  </si>
  <si>
    <t>TJ/GWh</t>
  </si>
  <si>
    <t>tGHG/MWh</t>
    <phoneticPr fontId="2" type="noConversion"/>
  </si>
  <si>
    <t>열(스팀)</t>
    <phoneticPr fontId="2" type="noConversion"/>
  </si>
  <si>
    <t>kgGHG/TJ</t>
    <phoneticPr fontId="2" type="noConversion"/>
  </si>
  <si>
    <t>국가 온실가스 배출계수
Tier2
[별표12]</t>
    <phoneticPr fontId="2" type="noConversion"/>
  </si>
  <si>
    <t>원유</t>
  </si>
  <si>
    <t>㎏GHG/TJ</t>
    <phoneticPr fontId="2" type="noConversion"/>
  </si>
  <si>
    <t>MJ/L</t>
  </si>
  <si>
    <t>자동차용가솔린</t>
  </si>
  <si>
    <t>TJ/1000㎥</t>
  </si>
  <si>
    <t>등유</t>
  </si>
  <si>
    <t>기타등유</t>
  </si>
  <si>
    <t>가스/디젤오일</t>
  </si>
  <si>
    <t>잔여연료유</t>
  </si>
  <si>
    <t>나프타</t>
  </si>
  <si>
    <t>백유</t>
  </si>
  <si>
    <t>항공유</t>
  </si>
  <si>
    <t>항공용가솔린</t>
  </si>
  <si>
    <t>아스팔트</t>
  </si>
  <si>
    <t>석유코크(고체)</t>
    <phoneticPr fontId="2" type="noConversion"/>
  </si>
  <si>
    <t>석유코크스(고체)</t>
  </si>
  <si>
    <t>석유코크스</t>
  </si>
  <si>
    <t>부생연료1호</t>
    <phoneticPr fontId="2" type="noConversion"/>
  </si>
  <si>
    <t>부생연료1호1)</t>
  </si>
  <si>
    <t>부생연료2호</t>
    <phoneticPr fontId="2" type="noConversion"/>
  </si>
  <si>
    <t>부생연료2호2)</t>
  </si>
  <si>
    <t>MJ/N㎥</t>
  </si>
  <si>
    <t>TJ/10^6㎥</t>
  </si>
  <si>
    <t>무연탄</t>
  </si>
  <si>
    <t>연료용 수입무연탄</t>
  </si>
  <si>
    <t>원료용 수입무연탄</t>
  </si>
  <si>
    <t>유연탄(연료용)</t>
  </si>
  <si>
    <t>기타역청탄</t>
  </si>
  <si>
    <t>원료용 유연탄</t>
    <phoneticPr fontId="2" type="noConversion"/>
  </si>
  <si>
    <t>유연탄(원료용)</t>
  </si>
  <si>
    <t>점결탄</t>
  </si>
  <si>
    <t>하위 역청탄(아역청탄)</t>
    <phoneticPr fontId="2" type="noConversion"/>
  </si>
  <si>
    <t>아역청탄</t>
  </si>
  <si>
    <t>하위 유연탄</t>
  </si>
  <si>
    <t>코크스로 코크스</t>
  </si>
  <si>
    <t>전력(발전기준)</t>
  </si>
  <si>
    <t>MJ/kWh</t>
  </si>
  <si>
    <t>전력(소비기준)</t>
  </si>
  <si>
    <t>※ 지침 별표12 국가 배출계수의 경우 일부 연료에 대한 CO2배출량만 제시됨 --&gt; CH4 및 N2O의 배출계수는 우선 IPCC기본 배출계수를 적용하는 것으로 작성함</t>
    <phoneticPr fontId="2" type="noConversion"/>
  </si>
  <si>
    <t>□ 연료별 국가고유 배출계수</t>
    <phoneticPr fontId="2" type="noConversion"/>
  </si>
  <si>
    <t>연료</t>
    <phoneticPr fontId="2" type="noConversion"/>
  </si>
  <si>
    <t>탄소
배출계수
(kgC/TJ)</t>
    <phoneticPr fontId="2" type="noConversion"/>
  </si>
  <si>
    <t>이산화탄소
배출계수
(kgCO2/TJ)</t>
    <phoneticPr fontId="2" type="noConversion"/>
  </si>
  <si>
    <t>휘발유</t>
    <phoneticPr fontId="2" type="noConversion"/>
  </si>
  <si>
    <t>등유2호(실내등유)</t>
  </si>
  <si>
    <t>등유1호(보일러등유)</t>
  </si>
  <si>
    <t>항공유</t>
    <phoneticPr fontId="2" type="noConversion"/>
  </si>
  <si>
    <t>항공유(JET-A1)</t>
  </si>
  <si>
    <t>아스팔트</t>
    <phoneticPr fontId="2" type="noConversion"/>
  </si>
  <si>
    <t>부생연료 1호</t>
  </si>
  <si>
    <t>부생연료 2호</t>
  </si>
  <si>
    <t>프로판</t>
    <phoneticPr fontId="2" type="noConversion"/>
  </si>
  <si>
    <t>부탄</t>
    <phoneticPr fontId="2" type="noConversion"/>
  </si>
  <si>
    <t>수입무연탄(연료용)</t>
  </si>
  <si>
    <t>수입무연탄(원료용)</t>
  </si>
  <si>
    <t>원료용 유연탄</t>
  </si>
  <si>
    <t>하위 역청탄(아역청탄)</t>
  </si>
  <si>
    <t>&lt;활동자료 등 목록 작성용 리스트&gt;</t>
    <phoneticPr fontId="2" type="noConversion"/>
  </si>
  <si>
    <t>Tier1
배출계수
[별표10]</t>
  </si>
  <si>
    <t>고정</t>
  </si>
  <si>
    <t>국가 온실가스 배출계수
Tier2
[별표12]</t>
  </si>
  <si>
    <t>배출계수
[별표6]</t>
  </si>
  <si>
    <t>간접</t>
  </si>
  <si>
    <t>전력</t>
  </si>
  <si>
    <t>열(스팀)</t>
  </si>
  <si>
    <t>고체</t>
  </si>
  <si>
    <t>기체</t>
  </si>
  <si>
    <t>액체</t>
  </si>
  <si>
    <t>이동(도로)</t>
  </si>
  <si>
    <t>이동(항공)</t>
  </si>
  <si>
    <t>Tier1과 Tier2에 중복된 리스트는 하나만 목록에 뜨도록 삭제함</t>
    <phoneticPr fontId="2" type="noConversion"/>
  </si>
  <si>
    <t xml:space="preserve">배출권기준가격 : </t>
    <phoneticPr fontId="2" type="noConversion"/>
  </si>
  <si>
    <t>원/Ton</t>
    <phoneticPr fontId="2" type="noConversion"/>
  </si>
  <si>
    <t>■ 투자 회수기간 산정</t>
    <phoneticPr fontId="2" type="noConversion"/>
  </si>
  <si>
    <t>■ 사업전·후 에너지 비용 산정</t>
    <phoneticPr fontId="2" type="noConversion"/>
  </si>
  <si>
    <t xml:space="preserve"> - 총사업비 대비 에너지절감액과 감축량에 따른 탄소비용을 고려</t>
    <phoneticPr fontId="2" type="noConversion"/>
  </si>
  <si>
    <t xml:space="preserve"> - 해당 사업별로 사업 전·후의 에너지 종류별 사용량과 단가를 기준으로 산정</t>
    <phoneticPr fontId="2" type="noConversion"/>
  </si>
  <si>
    <t>투자회수기간(PP) 산정</t>
    <phoneticPr fontId="2" type="noConversion"/>
  </si>
  <si>
    <t>(A)</t>
    <phoneticPr fontId="2" type="noConversion"/>
  </si>
  <si>
    <t>(B = C + D)</t>
    <phoneticPr fontId="2" type="noConversion"/>
  </si>
  <si>
    <t>(C)</t>
    <phoneticPr fontId="2" type="noConversion"/>
  </si>
  <si>
    <t>(D)</t>
    <phoneticPr fontId="2" type="noConversion"/>
  </si>
  <si>
    <t>( E = A / B )</t>
    <phoneticPr fontId="2" type="noConversion"/>
  </si>
  <si>
    <t>절감액 합계</t>
    <phoneticPr fontId="2" type="noConversion"/>
  </si>
  <si>
    <t>사업 시행이전 에너지 비용</t>
    <phoneticPr fontId="2" type="noConversion"/>
  </si>
  <si>
    <t>사업 시행이후 에너지 비용</t>
    <phoneticPr fontId="2" type="noConversion"/>
  </si>
  <si>
    <t>설비투자비(원)
(Investment)</t>
    <phoneticPr fontId="2" type="noConversion"/>
  </si>
  <si>
    <t>연간 회수금액
(Annual Return)</t>
    <phoneticPr fontId="2" type="noConversion"/>
  </si>
  <si>
    <t>연간 에너지절감비용(원)
(Annual Energy Cost Saving)</t>
    <phoneticPr fontId="2" type="noConversion"/>
  </si>
  <si>
    <t>연간 감축 이익(원)
(Annual Mitigation Benefit)</t>
    <phoneticPr fontId="2" type="noConversion"/>
  </si>
  <si>
    <t>회수기간(년)
(Payback Period)</t>
    <phoneticPr fontId="2" type="noConversion"/>
  </si>
  <si>
    <t>에너지명
(연료 등)</t>
    <phoneticPr fontId="2" type="noConversion"/>
  </si>
  <si>
    <t>에너지사용량(연간)</t>
    <phoneticPr fontId="2" type="noConversion"/>
  </si>
  <si>
    <t>단위
(에너지)</t>
    <phoneticPr fontId="2" type="noConversion"/>
  </si>
  <si>
    <t>단가</t>
    <phoneticPr fontId="2" type="noConversion"/>
  </si>
  <si>
    <t>단위
(단가)</t>
    <phoneticPr fontId="2" type="noConversion"/>
  </si>
  <si>
    <t>에너지 비용</t>
    <phoneticPr fontId="2" type="noConversion"/>
  </si>
  <si>
    <t>에너지
사용량</t>
    <phoneticPr fontId="2" type="noConversion"/>
  </si>
  <si>
    <t>단위
(단가)</t>
    <phoneticPr fontId="2" type="noConversion"/>
  </si>
  <si>
    <t>■ 보조금 산정</t>
    <phoneticPr fontId="2" type="noConversion"/>
  </si>
  <si>
    <t>■ 보조금 예산 검토</t>
    <phoneticPr fontId="2" type="noConversion"/>
  </si>
  <si>
    <t>■ 보조비목, 보조세목별 산정기준</t>
    <phoneticPr fontId="2" type="noConversion"/>
  </si>
  <si>
    <t>※ 보조사업 정산보고서 작성지침(기획재정부공고) 별표1 (2021.03.31)</t>
    <phoneticPr fontId="2" type="noConversion"/>
  </si>
  <si>
    <t>관리번호</t>
    <phoneticPr fontId="2" type="noConversion"/>
  </si>
  <si>
    <t>보조비목</t>
    <phoneticPr fontId="2" type="noConversion"/>
  </si>
  <si>
    <t>보조세목</t>
    <phoneticPr fontId="2" type="noConversion"/>
  </si>
  <si>
    <t>산출내역</t>
    <phoneticPr fontId="2" type="noConversion"/>
  </si>
  <si>
    <t>견적 세부 내역</t>
    <phoneticPr fontId="2" type="noConversion"/>
  </si>
  <si>
    <t>산출근거</t>
    <phoneticPr fontId="2" type="noConversion"/>
  </si>
  <si>
    <t>설비 투자비
(원)</t>
    <phoneticPr fontId="2" type="noConversion"/>
  </si>
  <si>
    <t xml:space="preserve">국고보조금(원)
</t>
    <phoneticPr fontId="2" type="noConversion"/>
  </si>
  <si>
    <t>자기부담금 (원)</t>
    <phoneticPr fontId="2" type="noConversion"/>
  </si>
  <si>
    <t>합계</t>
    <phoneticPr fontId="2" type="noConversion"/>
  </si>
  <si>
    <t>보조비목</t>
  </si>
  <si>
    <r>
      <t>유형자산</t>
    </r>
    <r>
      <rPr>
        <sz val="10"/>
        <color rgb="FF000000"/>
        <rFont val="HCI Poppy"/>
        <family val="2"/>
      </rPr>
      <t>(430)</t>
    </r>
  </si>
  <si>
    <r>
      <t>자산취득비</t>
    </r>
    <r>
      <rPr>
        <sz val="10"/>
        <color rgb="FF000000"/>
        <rFont val="HCI Poppy"/>
        <family val="2"/>
      </rPr>
      <t>(01)</t>
    </r>
  </si>
  <si>
    <t>(B)</t>
    <phoneticPr fontId="2" type="noConversion"/>
  </si>
  <si>
    <t>(C)</t>
    <phoneticPr fontId="2" type="noConversion"/>
  </si>
  <si>
    <t>부가세</t>
    <phoneticPr fontId="2" type="noConversion"/>
  </si>
  <si>
    <t>소계</t>
    <phoneticPr fontId="2" type="noConversion"/>
  </si>
  <si>
    <r>
      <t>인건비</t>
    </r>
    <r>
      <rPr>
        <sz val="10"/>
        <color rgb="FF000000"/>
        <rFont val="HCI Poppy"/>
        <family val="2"/>
      </rPr>
      <t>(110)</t>
    </r>
  </si>
  <si>
    <r>
      <t>보수</t>
    </r>
    <r>
      <rPr>
        <sz val="10"/>
        <color rgb="FF000000"/>
        <rFont val="HCI Poppy"/>
        <family val="2"/>
      </rPr>
      <t>(01)</t>
    </r>
  </si>
  <si>
    <r>
      <t>운영비</t>
    </r>
    <r>
      <rPr>
        <sz val="10"/>
        <color rgb="FF000000"/>
        <rFont val="HCI Poppy"/>
        <family val="2"/>
      </rPr>
      <t>(210)</t>
    </r>
  </si>
  <si>
    <r>
      <t>재료비</t>
    </r>
    <r>
      <rPr>
        <sz val="10"/>
        <color rgb="FF000000"/>
        <rFont val="HCI Poppy"/>
        <family val="2"/>
      </rPr>
      <t xml:space="preserve">(11) </t>
    </r>
  </si>
  <si>
    <t>합계
(원)</t>
    <phoneticPr fontId="2" type="noConversion"/>
  </si>
  <si>
    <t>설비투자비
(원)</t>
    <phoneticPr fontId="2" type="noConversion"/>
  </si>
  <si>
    <t>자부담금
(원)</t>
    <phoneticPr fontId="2" type="noConversion"/>
  </si>
  <si>
    <t>국고보조금
(원)</t>
    <phoneticPr fontId="2" type="noConversion"/>
  </si>
  <si>
    <t>A</t>
    <phoneticPr fontId="2" type="noConversion"/>
  </si>
  <si>
    <t>B=A-①</t>
    <phoneticPr fontId="2" type="noConversion"/>
  </si>
  <si>
    <t>②</t>
    <phoneticPr fontId="2" type="noConversion"/>
  </si>
  <si>
    <t>①+②=C</t>
    <phoneticPr fontId="2" type="noConversion"/>
  </si>
  <si>
    <r>
      <t>기타직보수</t>
    </r>
    <r>
      <rPr>
        <sz val="10"/>
        <color rgb="FF000000"/>
        <rFont val="HCI Poppy"/>
        <family val="2"/>
      </rPr>
      <t>(02)</t>
    </r>
  </si>
  <si>
    <r>
      <t>건설비</t>
    </r>
    <r>
      <rPr>
        <sz val="10"/>
        <color rgb="FF000000"/>
        <rFont val="HCI Poppy"/>
        <family val="2"/>
      </rPr>
      <t>(420)</t>
    </r>
  </si>
  <si>
    <r>
      <t>시설비</t>
    </r>
    <r>
      <rPr>
        <sz val="10"/>
        <color rgb="FF000000"/>
        <rFont val="HCI Poppy"/>
        <family val="2"/>
      </rPr>
      <t>(03)</t>
    </r>
  </si>
  <si>
    <r>
      <t>상용임금</t>
    </r>
    <r>
      <rPr>
        <sz val="10"/>
        <color rgb="FF000000"/>
        <rFont val="HCI Poppy"/>
        <family val="2"/>
      </rPr>
      <t>(03)</t>
    </r>
  </si>
  <si>
    <r>
      <t>감리비</t>
    </r>
    <r>
      <rPr>
        <sz val="10"/>
        <color rgb="FF000000"/>
        <rFont val="HCI Poppy"/>
        <family val="2"/>
      </rPr>
      <t>(04)</t>
    </r>
  </si>
  <si>
    <t>유형자산(430)</t>
  </si>
  <si>
    <t>자산취득비(01)</t>
  </si>
  <si>
    <r>
      <t>일용임금</t>
    </r>
    <r>
      <rPr>
        <sz val="10"/>
        <color rgb="FF000000"/>
        <rFont val="HCI Poppy"/>
        <family val="2"/>
      </rPr>
      <t>(04)</t>
    </r>
  </si>
  <si>
    <r>
      <t>여비</t>
    </r>
    <r>
      <rPr>
        <sz val="10"/>
        <color rgb="FF000000"/>
        <rFont val="HCI Poppy"/>
        <family val="2"/>
      </rPr>
      <t>(220)</t>
    </r>
  </si>
  <si>
    <t>건설비(420)</t>
  </si>
  <si>
    <t>실시설계비(02)</t>
  </si>
  <si>
    <t>설계비</t>
    <phoneticPr fontId="2" type="noConversion"/>
  </si>
  <si>
    <r>
      <t>기타인건비</t>
    </r>
    <r>
      <rPr>
        <sz val="10"/>
        <color rgb="FF000000"/>
        <rFont val="HCI Poppy"/>
        <family val="2"/>
      </rPr>
      <t>(05)</t>
    </r>
  </si>
  <si>
    <r>
      <t>업무추진비</t>
    </r>
    <r>
      <rPr>
        <sz val="10"/>
        <color rgb="FF000000"/>
        <rFont val="HCI Poppy"/>
        <family val="2"/>
      </rPr>
      <t>(240)</t>
    </r>
  </si>
  <si>
    <t>시설비(03)</t>
  </si>
  <si>
    <r>
      <t>일반수용비</t>
    </r>
    <r>
      <rPr>
        <sz val="10"/>
        <color rgb="FF000000"/>
        <rFont val="HCI Poppy"/>
        <family val="2"/>
      </rPr>
      <t>(01)</t>
    </r>
  </si>
  <si>
    <r>
      <t>직무수행경비</t>
    </r>
    <r>
      <rPr>
        <sz val="10"/>
        <color rgb="FF000000"/>
        <rFont val="HCI Poppy"/>
        <family val="2"/>
      </rPr>
      <t>(250)</t>
    </r>
  </si>
  <si>
    <r>
      <t>공공요금 및 제세</t>
    </r>
    <r>
      <rPr>
        <sz val="10"/>
        <color rgb="FF000000"/>
        <rFont val="HCI Poppy"/>
        <family val="2"/>
      </rPr>
      <t>(02)</t>
    </r>
  </si>
  <si>
    <r>
      <t>연구개발비</t>
    </r>
    <r>
      <rPr>
        <sz val="10"/>
        <color rgb="FF000000"/>
        <rFont val="HCI Poppy"/>
        <family val="2"/>
      </rPr>
      <t>(260)</t>
    </r>
  </si>
  <si>
    <r>
      <t>피복비</t>
    </r>
    <r>
      <rPr>
        <sz val="10"/>
        <color rgb="FF000000"/>
        <rFont val="HCI Poppy"/>
        <family val="2"/>
      </rPr>
      <t>(03)</t>
    </r>
  </si>
  <si>
    <r>
      <t>보전금</t>
    </r>
    <r>
      <rPr>
        <sz val="10"/>
        <color rgb="FF000000"/>
        <rFont val="HCI Poppy"/>
        <family val="2"/>
      </rPr>
      <t>(310)</t>
    </r>
  </si>
  <si>
    <t>감리비(04)</t>
  </si>
  <si>
    <t>감리비</t>
    <phoneticPr fontId="2" type="noConversion"/>
  </si>
  <si>
    <r>
      <t>급량비</t>
    </r>
    <r>
      <rPr>
        <sz val="10"/>
        <color rgb="FF000000"/>
        <rFont val="HCI Poppy"/>
        <family val="2"/>
      </rPr>
      <t>(04)</t>
    </r>
  </si>
  <si>
    <r>
      <t>민간이전</t>
    </r>
    <r>
      <rPr>
        <sz val="10"/>
        <color rgb="FF000000"/>
        <rFont val="HCI Poppy"/>
        <family val="2"/>
      </rPr>
      <t>(320)</t>
    </r>
  </si>
  <si>
    <r>
      <t>특근매식비</t>
    </r>
    <r>
      <rPr>
        <sz val="10"/>
        <color rgb="FF000000"/>
        <rFont val="HCI Poppy"/>
        <family val="2"/>
      </rPr>
      <t>(05)</t>
    </r>
  </si>
  <si>
    <r>
      <t>자치단체등 이전</t>
    </r>
    <r>
      <rPr>
        <sz val="10"/>
        <color rgb="FF000000"/>
        <rFont val="HCI Poppy"/>
        <family val="2"/>
      </rPr>
      <t>(330)</t>
    </r>
  </si>
  <si>
    <r>
      <t>일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1"/>
        <charset val="129"/>
      </rPr>
      <t>숙직비</t>
    </r>
    <r>
      <rPr>
        <sz val="10"/>
        <color rgb="FF000000"/>
        <rFont val="HCI Poppy"/>
        <family val="2"/>
      </rPr>
      <t>(06)</t>
    </r>
  </si>
  <si>
    <r>
      <t>기타이전</t>
    </r>
    <r>
      <rPr>
        <sz val="10"/>
        <color rgb="FF000000"/>
        <rFont val="HCI Poppy"/>
        <family val="2"/>
      </rPr>
      <t>(340)</t>
    </r>
  </si>
  <si>
    <r>
      <t>임차료</t>
    </r>
    <r>
      <rPr>
        <sz val="10"/>
        <color rgb="FF000000"/>
        <rFont val="HCI Poppy"/>
        <family val="2"/>
      </rPr>
      <t>(07)</t>
    </r>
  </si>
  <si>
    <r>
      <t>출연금</t>
    </r>
    <r>
      <rPr>
        <sz val="10"/>
        <color rgb="FF000000"/>
        <rFont val="HCI Poppy"/>
        <family val="2"/>
      </rPr>
      <t>(350)</t>
    </r>
  </si>
  <si>
    <r>
      <t>유류비 등</t>
    </r>
    <r>
      <rPr>
        <sz val="10"/>
        <color rgb="FF000000"/>
        <rFont val="HCI Poppy"/>
        <family val="2"/>
      </rPr>
      <t>(08)</t>
    </r>
  </si>
  <si>
    <r>
      <t>토지매입비</t>
    </r>
    <r>
      <rPr>
        <sz val="10"/>
        <color rgb="FF000000"/>
        <rFont val="HCI Poppy"/>
        <family val="2"/>
      </rPr>
      <t>(410)</t>
    </r>
  </si>
  <si>
    <r>
      <t>시설장비 유지비</t>
    </r>
    <r>
      <rPr>
        <sz val="10"/>
        <color rgb="FF000000"/>
        <rFont val="HCI Poppy"/>
        <family val="2"/>
      </rPr>
      <t>(09)</t>
    </r>
  </si>
  <si>
    <r>
      <t>무형자산</t>
    </r>
    <r>
      <rPr>
        <sz val="10"/>
        <color rgb="FF000000"/>
        <rFont val="HCI Poppy"/>
        <family val="2"/>
      </rPr>
      <t>(440)</t>
    </r>
  </si>
  <si>
    <r>
      <t>차량비 등</t>
    </r>
    <r>
      <rPr>
        <sz val="10"/>
        <color rgb="FF000000"/>
        <rFont val="HCI Poppy"/>
        <family val="2"/>
      </rPr>
      <t>(10)</t>
    </r>
  </si>
  <si>
    <r>
      <t>융자금</t>
    </r>
    <r>
      <rPr>
        <sz val="10"/>
        <color rgb="FF000000"/>
        <rFont val="HCI Poppy"/>
        <family val="2"/>
      </rPr>
      <t>(450)</t>
    </r>
  </si>
  <si>
    <r>
      <t>출자금</t>
    </r>
    <r>
      <rPr>
        <sz val="10"/>
        <color rgb="FF000000"/>
        <rFont val="HCI Poppy"/>
        <family val="2"/>
      </rPr>
      <t>(460)</t>
    </r>
  </si>
  <si>
    <r>
      <t>복리후생비</t>
    </r>
    <r>
      <rPr>
        <sz val="10"/>
        <color rgb="FF000000"/>
        <rFont val="HCI Poppy"/>
        <family val="2"/>
      </rPr>
      <t>(12)</t>
    </r>
  </si>
  <si>
    <r>
      <t>예치금 및 유가증권 매입</t>
    </r>
    <r>
      <rPr>
        <sz val="10"/>
        <color rgb="FF000000"/>
        <rFont val="HCI Poppy"/>
        <family val="2"/>
      </rPr>
      <t>(470)</t>
    </r>
  </si>
  <si>
    <r>
      <t>시험연구비</t>
    </r>
    <r>
      <rPr>
        <sz val="10"/>
        <color rgb="FF000000"/>
        <rFont val="HCI Poppy"/>
        <family val="2"/>
      </rPr>
      <t>(13)</t>
    </r>
  </si>
  <si>
    <r>
      <t>예탁금</t>
    </r>
    <r>
      <rPr>
        <sz val="10"/>
        <color rgb="FF000000"/>
        <rFont val="HCI Poppy"/>
        <family val="2"/>
      </rPr>
      <t>(480)</t>
    </r>
  </si>
  <si>
    <r>
      <t>일반용역비</t>
    </r>
    <r>
      <rPr>
        <sz val="10"/>
        <color rgb="FF000000"/>
        <rFont val="HCI Poppy"/>
        <family val="2"/>
      </rPr>
      <t>(14)</t>
    </r>
  </si>
  <si>
    <r>
      <t>지분취득비</t>
    </r>
    <r>
      <rPr>
        <sz val="10"/>
        <color rgb="FF000000"/>
        <rFont val="HCI Poppy"/>
        <family val="2"/>
      </rPr>
      <t>(490)</t>
    </r>
  </si>
  <si>
    <r>
      <t>관리용역비</t>
    </r>
    <r>
      <rPr>
        <sz val="10"/>
        <color rgb="FF000000"/>
        <rFont val="HCI Poppy"/>
        <family val="2"/>
      </rPr>
      <t>(15)</t>
    </r>
  </si>
  <si>
    <r>
      <t>정산금</t>
    </r>
    <r>
      <rPr>
        <sz val="10"/>
        <color rgb="FF000000"/>
        <rFont val="HCI Poppy"/>
        <family val="2"/>
      </rPr>
      <t>(500)</t>
    </r>
  </si>
  <si>
    <r>
      <t>기타운영비</t>
    </r>
    <r>
      <rPr>
        <sz val="10"/>
        <color rgb="FF000000"/>
        <rFont val="HCI Poppy"/>
        <family val="2"/>
      </rPr>
      <t>(16)</t>
    </r>
  </si>
  <si>
    <r>
      <t>상환지출</t>
    </r>
    <r>
      <rPr>
        <sz val="10"/>
        <color rgb="FF000000"/>
        <rFont val="HCI Poppy"/>
        <family val="2"/>
      </rPr>
      <t>(510)</t>
    </r>
  </si>
  <si>
    <r>
      <t>국내여비</t>
    </r>
    <r>
      <rPr>
        <sz val="10"/>
        <color rgb="FF000000"/>
        <rFont val="HCI Poppy"/>
        <family val="2"/>
      </rPr>
      <t>(01)</t>
    </r>
  </si>
  <si>
    <r>
      <t>전출금</t>
    </r>
    <r>
      <rPr>
        <sz val="10"/>
        <color rgb="FF000000"/>
        <rFont val="HCI Poppy"/>
        <family val="2"/>
      </rPr>
      <t>(610)</t>
    </r>
  </si>
  <si>
    <r>
      <t>국외여비</t>
    </r>
    <r>
      <rPr>
        <sz val="10"/>
        <color rgb="FF000000"/>
        <rFont val="HCI Poppy"/>
        <family val="2"/>
      </rPr>
      <t>(02)</t>
    </r>
  </si>
  <si>
    <r>
      <t>반환금 등</t>
    </r>
    <r>
      <rPr>
        <sz val="10"/>
        <color rgb="FF000000"/>
        <rFont val="HCI Poppy"/>
        <family val="2"/>
      </rPr>
      <t>(710)</t>
    </r>
  </si>
  <si>
    <r>
      <t>국외교육여비</t>
    </r>
    <r>
      <rPr>
        <sz val="10"/>
        <color rgb="FF000000"/>
        <rFont val="HCI Poppy"/>
        <family val="2"/>
      </rPr>
      <t>(03)</t>
    </r>
  </si>
  <si>
    <r>
      <t>사업추진비</t>
    </r>
    <r>
      <rPr>
        <sz val="10"/>
        <color rgb="FF000000"/>
        <rFont val="HCI Poppy"/>
        <family val="2"/>
      </rPr>
      <t>(01)</t>
    </r>
  </si>
  <si>
    <r>
      <t>기관업무비</t>
    </r>
    <r>
      <rPr>
        <sz val="10"/>
        <color rgb="FF000000"/>
        <rFont val="HCI Poppy"/>
        <family val="2"/>
      </rPr>
      <t>(02)</t>
    </r>
  </si>
  <si>
    <r>
      <t>월정직책급</t>
    </r>
    <r>
      <rPr>
        <sz val="10"/>
        <color rgb="FF000000"/>
        <rFont val="HCI Poppy"/>
        <family val="2"/>
      </rPr>
      <t>(01)</t>
    </r>
  </si>
  <si>
    <r>
      <t>특정업무경비</t>
    </r>
    <r>
      <rPr>
        <sz val="10"/>
        <color rgb="FF000000"/>
        <rFont val="HCI Poppy"/>
        <family val="2"/>
      </rPr>
      <t>(02)</t>
    </r>
  </si>
  <si>
    <r>
      <t>교수보직경비 등</t>
    </r>
    <r>
      <rPr>
        <sz val="10"/>
        <color rgb="FF000000"/>
        <rFont val="HCI Poppy"/>
        <family val="2"/>
      </rPr>
      <t>(03)</t>
    </r>
  </si>
  <si>
    <r>
      <t>연구개발비</t>
    </r>
    <r>
      <rPr>
        <sz val="10"/>
        <color rgb="FF000000"/>
        <rFont val="HCI Poppy"/>
        <family val="2"/>
      </rPr>
      <t>(01)</t>
    </r>
  </si>
  <si>
    <r>
      <t>보상금</t>
    </r>
    <r>
      <rPr>
        <sz val="10"/>
        <color rgb="FF000000"/>
        <rFont val="HCI Poppy"/>
        <family val="2"/>
      </rPr>
      <t>(01)</t>
    </r>
  </si>
  <si>
    <r>
      <t>배상금</t>
    </r>
    <r>
      <rPr>
        <sz val="10"/>
        <color rgb="FF000000"/>
        <rFont val="HCI Poppy"/>
        <family val="2"/>
      </rPr>
      <t>(02)</t>
    </r>
  </si>
  <si>
    <r>
      <t>포상금 등</t>
    </r>
    <r>
      <rPr>
        <sz val="10"/>
        <color rgb="FF000000"/>
        <rFont val="HCI Poppy"/>
        <family val="2"/>
      </rPr>
      <t>(03)</t>
    </r>
  </si>
  <si>
    <r>
      <t>기타보전금</t>
    </r>
    <r>
      <rPr>
        <sz val="10"/>
        <color rgb="FF000000"/>
        <rFont val="HCI Poppy"/>
        <family val="2"/>
      </rPr>
      <t>(04)</t>
    </r>
  </si>
  <si>
    <r>
      <t>민간경상보조</t>
    </r>
    <r>
      <rPr>
        <sz val="10"/>
        <color rgb="FF000000"/>
        <rFont val="HCI Poppy"/>
        <family val="2"/>
      </rPr>
      <t>(01)</t>
    </r>
  </si>
  <si>
    <r>
      <t>민간위탁사업비</t>
    </r>
    <r>
      <rPr>
        <sz val="10"/>
        <color rgb="FF000000"/>
        <rFont val="HCI Poppy"/>
        <family val="2"/>
      </rPr>
      <t>(02)</t>
    </r>
  </si>
  <si>
    <r>
      <t>연금지급금</t>
    </r>
    <r>
      <rPr>
        <sz val="10"/>
        <color rgb="FF000000"/>
        <rFont val="HCI Poppy"/>
        <family val="2"/>
      </rPr>
      <t>(03)</t>
    </r>
  </si>
  <si>
    <r>
      <t>보험금</t>
    </r>
    <r>
      <rPr>
        <sz val="10"/>
        <color rgb="FF000000"/>
        <rFont val="HCI Poppy"/>
        <family val="2"/>
      </rPr>
      <t>(04)</t>
    </r>
  </si>
  <si>
    <r>
      <t>이차보전금</t>
    </r>
    <r>
      <rPr>
        <sz val="10"/>
        <color rgb="FF000000"/>
        <rFont val="HCI Poppy"/>
        <family val="2"/>
      </rPr>
      <t>(05)</t>
    </r>
  </si>
  <si>
    <r>
      <t>구호 및 교정비</t>
    </r>
    <r>
      <rPr>
        <sz val="10"/>
        <color rgb="FF000000"/>
        <rFont val="HCI Poppy"/>
        <family val="2"/>
      </rPr>
      <t>(06)</t>
    </r>
  </si>
  <si>
    <r>
      <t>민간자본보조</t>
    </r>
    <r>
      <rPr>
        <sz val="10"/>
        <color rgb="FF000000"/>
        <rFont val="HCI Poppy"/>
        <family val="2"/>
      </rPr>
      <t>(07)</t>
    </r>
  </si>
  <si>
    <r>
      <t>민간대행사업비</t>
    </r>
    <r>
      <rPr>
        <sz val="10"/>
        <color rgb="FF000000"/>
        <rFont val="HCI Poppy"/>
        <family val="2"/>
      </rPr>
      <t>(08)</t>
    </r>
  </si>
  <si>
    <r>
      <t xml:space="preserve">고용부담금 </t>
    </r>
    <r>
      <rPr>
        <sz val="10"/>
        <color rgb="FF000000"/>
        <rFont val="HCI Poppy"/>
        <family val="2"/>
      </rPr>
      <t>(09)</t>
    </r>
  </si>
  <si>
    <r>
      <t>기타 부담금</t>
    </r>
    <r>
      <rPr>
        <sz val="10"/>
        <color rgb="FF000000"/>
        <rFont val="HCI Poppy"/>
        <family val="2"/>
      </rPr>
      <t>(10)</t>
    </r>
  </si>
  <si>
    <r>
      <t>자치단체 경상보조</t>
    </r>
    <r>
      <rPr>
        <sz val="10"/>
        <color rgb="FF000000"/>
        <rFont val="HCI Poppy"/>
        <family val="2"/>
      </rPr>
      <t>(01)</t>
    </r>
  </si>
  <si>
    <r>
      <t>자치단체 자본보조</t>
    </r>
    <r>
      <rPr>
        <sz val="10"/>
        <color rgb="FF000000"/>
        <rFont val="HCI Poppy"/>
        <family val="2"/>
      </rPr>
      <t>(02)</t>
    </r>
  </si>
  <si>
    <r>
      <t xml:space="preserve">자치단체 대행사업비 </t>
    </r>
    <r>
      <rPr>
        <sz val="10"/>
        <color rgb="FF000000"/>
        <rFont val="HCI Poppy"/>
        <family val="2"/>
      </rPr>
      <t>(03)</t>
    </r>
  </si>
  <si>
    <r>
      <t>해외 경상 이전 등</t>
    </r>
    <r>
      <rPr>
        <sz val="10"/>
        <color rgb="FF000000"/>
        <rFont val="HCI Poppy"/>
        <family val="2"/>
      </rPr>
      <t>(01)</t>
    </r>
  </si>
  <si>
    <r>
      <t>국제화부담금</t>
    </r>
    <r>
      <rPr>
        <sz val="10"/>
        <color rgb="FF000000"/>
        <rFont val="HCI Poppy"/>
        <family val="2"/>
      </rPr>
      <t>(02)</t>
    </r>
  </si>
  <si>
    <r>
      <t>해외 자본 이전 등</t>
    </r>
    <r>
      <rPr>
        <sz val="10"/>
        <color rgb="FF000000"/>
        <rFont val="HCI Poppy"/>
        <family val="2"/>
      </rPr>
      <t>(03)</t>
    </r>
  </si>
  <si>
    <r>
      <t>일반 출연금</t>
    </r>
    <r>
      <rPr>
        <sz val="10"/>
        <color rgb="FF000000"/>
        <rFont val="HCI Poppy"/>
        <family val="2"/>
      </rPr>
      <t>(01)</t>
    </r>
  </si>
  <si>
    <r>
      <t>연구개발출연금</t>
    </r>
    <r>
      <rPr>
        <sz val="10"/>
        <color rgb="FF000000"/>
        <rFont val="HCI Poppy"/>
        <family val="2"/>
      </rPr>
      <t>(02)</t>
    </r>
  </si>
  <si>
    <r>
      <t>토지매입비</t>
    </r>
    <r>
      <rPr>
        <sz val="10"/>
        <color rgb="FF000000"/>
        <rFont val="HCI Poppy"/>
        <family val="2"/>
      </rPr>
      <t>(01)</t>
    </r>
  </si>
  <si>
    <r>
      <t>기본조사 설계비</t>
    </r>
    <r>
      <rPr>
        <sz val="10"/>
        <color rgb="FF000000"/>
        <rFont val="HCI Poppy"/>
        <family val="2"/>
      </rPr>
      <t>(01)</t>
    </r>
  </si>
  <si>
    <r>
      <t>실시설계비</t>
    </r>
    <r>
      <rPr>
        <sz val="10"/>
        <color rgb="FF000000"/>
        <rFont val="HCI Poppy"/>
        <family val="2"/>
      </rPr>
      <t>(02)</t>
    </r>
  </si>
  <si>
    <r>
      <t>시설부대비</t>
    </r>
    <r>
      <rPr>
        <sz val="10"/>
        <color rgb="FF000000"/>
        <rFont val="HCI Poppy"/>
        <family val="2"/>
      </rPr>
      <t>(05)</t>
    </r>
  </si>
  <si>
    <r>
      <t>무형자산</t>
    </r>
    <r>
      <rPr>
        <sz val="10"/>
        <color rgb="FF000000"/>
        <rFont val="HCI Poppy"/>
        <family val="2"/>
      </rPr>
      <t>(01)</t>
    </r>
  </si>
  <si>
    <r>
      <t>융자금</t>
    </r>
    <r>
      <rPr>
        <sz val="10"/>
        <color rgb="FF000000"/>
        <rFont val="HCI Poppy"/>
        <family val="2"/>
      </rPr>
      <t>(01)</t>
    </r>
  </si>
  <si>
    <r>
      <t>출자금</t>
    </r>
    <r>
      <rPr>
        <sz val="10"/>
        <color rgb="FF000000"/>
        <rFont val="HCI Poppy"/>
        <family val="2"/>
      </rPr>
      <t>(01)</t>
    </r>
  </si>
  <si>
    <r>
      <t>예치금 및 유가증권 매입</t>
    </r>
    <r>
      <rPr>
        <sz val="10"/>
        <color rgb="FF000000"/>
        <rFont val="HCI Poppy"/>
        <family val="2"/>
      </rPr>
      <t>(01)</t>
    </r>
  </si>
  <si>
    <r>
      <t>예탁금</t>
    </r>
    <r>
      <rPr>
        <sz val="10"/>
        <color rgb="FF000000"/>
        <rFont val="HCI Poppy"/>
        <family val="2"/>
      </rPr>
      <t>(01)</t>
    </r>
  </si>
  <si>
    <r>
      <t>지분취득비</t>
    </r>
    <r>
      <rPr>
        <sz val="10"/>
        <color rgb="FF000000"/>
        <rFont val="HCI Poppy"/>
        <family val="2"/>
      </rPr>
      <t>(01)</t>
    </r>
  </si>
  <si>
    <r>
      <t>정산금</t>
    </r>
    <r>
      <rPr>
        <sz val="10"/>
        <color rgb="FF000000"/>
        <rFont val="HCI Poppy"/>
        <family val="2"/>
      </rPr>
      <t>(01)</t>
    </r>
  </si>
  <si>
    <r>
      <t xml:space="preserve">국내차입금 상환 </t>
    </r>
    <r>
      <rPr>
        <sz val="10"/>
        <color rgb="FF000000"/>
        <rFont val="HCI Poppy"/>
        <family val="2"/>
      </rPr>
      <t>(01)</t>
    </r>
  </si>
  <si>
    <r>
      <t xml:space="preserve">해외차입금 상환 </t>
    </r>
    <r>
      <rPr>
        <sz val="10"/>
        <color rgb="FF000000"/>
        <rFont val="HCI Poppy"/>
        <family val="2"/>
      </rPr>
      <t>(02)</t>
    </r>
  </si>
  <si>
    <r>
      <t>차입금이자</t>
    </r>
    <r>
      <rPr>
        <sz val="10"/>
        <color rgb="FF000000"/>
        <rFont val="HCI Poppy"/>
        <family val="2"/>
      </rPr>
      <t>(03)</t>
    </r>
  </si>
  <si>
    <r>
      <t>전출금</t>
    </r>
    <r>
      <rPr>
        <sz val="10"/>
        <color rgb="FF000000"/>
        <rFont val="HCI Poppy"/>
        <family val="2"/>
      </rPr>
      <t>(01)</t>
    </r>
  </si>
  <si>
    <r>
      <t>감가상각비</t>
    </r>
    <r>
      <rPr>
        <sz val="10"/>
        <color rgb="FF000000"/>
        <rFont val="HCI Poppy"/>
        <family val="2"/>
      </rPr>
      <t>(02)</t>
    </r>
  </si>
  <si>
    <r>
      <t>당기순이익</t>
    </r>
    <r>
      <rPr>
        <sz val="10"/>
        <color rgb="FF000000"/>
        <rFont val="HCI Poppy"/>
        <family val="2"/>
      </rPr>
      <t>(03)</t>
    </r>
  </si>
  <si>
    <r>
      <t>예탁금</t>
    </r>
    <r>
      <rPr>
        <sz val="10"/>
        <color rgb="FF000000"/>
        <rFont val="HCI Poppy"/>
        <family val="2"/>
      </rPr>
      <t>(04)</t>
    </r>
  </si>
  <si>
    <r>
      <t>예수금 상환</t>
    </r>
    <r>
      <rPr>
        <sz val="10"/>
        <color rgb="FF000000"/>
        <rFont val="HCI Poppy"/>
        <family val="2"/>
      </rPr>
      <t>(05)</t>
    </r>
  </si>
  <si>
    <r>
      <t>예비비</t>
    </r>
    <r>
      <rPr>
        <sz val="10"/>
        <color rgb="FF000000"/>
        <rFont val="HCI Poppy"/>
        <family val="2"/>
      </rPr>
      <t>(01)</t>
    </r>
  </si>
  <si>
    <r>
      <t>반환금 등 기타</t>
    </r>
    <r>
      <rPr>
        <sz val="10"/>
        <color rgb="FF000000"/>
        <rFont val="HCI Poppy"/>
        <family val="2"/>
      </rPr>
      <t>(02)</t>
    </r>
  </si>
  <si>
    <t>소계</t>
    <phoneticPr fontId="2" type="noConversion"/>
  </si>
  <si>
    <t>당해연도
신청 보조금</t>
    <phoneticPr fontId="2" type="noConversion"/>
  </si>
  <si>
    <t>자기
부담금</t>
    <phoneticPr fontId="2" type="noConversion"/>
  </si>
  <si>
    <t>설치 전 
계측기간</t>
    <phoneticPr fontId="2" type="noConversion"/>
  </si>
  <si>
    <t>(                  )</t>
    <phoneticPr fontId="2" type="noConversion"/>
  </si>
  <si>
    <t>보조사업
유형</t>
    <phoneticPr fontId="2" type="noConversion"/>
  </si>
  <si>
    <t>신청 설비 명세-1</t>
    <phoneticPr fontId="2" type="noConversion"/>
  </si>
  <si>
    <t>합계</t>
    <phoneticPr fontId="2" type="noConversion"/>
  </si>
  <si>
    <t>견적명</t>
    <phoneticPr fontId="2" type="noConversion"/>
  </si>
  <si>
    <t>배출권거래제 할당대상업체 탄소중립설비 지원사업 사업계획서</t>
    <phoneticPr fontId="2" type="noConversion"/>
  </si>
  <si>
    <t>설비투자비
※ VAT 제외</t>
    <phoneticPr fontId="2" type="noConversion"/>
  </si>
  <si>
    <t>보조세목</t>
    <phoneticPr fontId="2" type="noConversion"/>
  </si>
  <si>
    <t>합계
(VAT제외)</t>
    <phoneticPr fontId="2" type="noConversion"/>
  </si>
  <si>
    <t>선택항목</t>
    <phoneticPr fontId="2" type="noConversion"/>
  </si>
  <si>
    <t>작성방법</t>
    <phoneticPr fontId="2" type="noConversion"/>
  </si>
  <si>
    <t>작성방법</t>
    <phoneticPr fontId="2" type="noConversion"/>
  </si>
  <si>
    <t>작성방법</t>
    <phoneticPr fontId="2" type="noConversion"/>
  </si>
  <si>
    <t>신청서 작성방법</t>
    <phoneticPr fontId="2" type="noConversion"/>
  </si>
  <si>
    <t>착공 가능</t>
    <phoneticPr fontId="2" type="noConversion"/>
  </si>
  <si>
    <t>착공 불가</t>
    <phoneticPr fontId="2" type="noConversion"/>
  </si>
  <si>
    <t>집행 불가능</t>
    <phoneticPr fontId="2" type="noConversion"/>
  </si>
  <si>
    <t>중복</t>
    <phoneticPr fontId="2" type="noConversion"/>
  </si>
  <si>
    <t>중복되지 않음</t>
    <phoneticPr fontId="2" type="noConversion"/>
  </si>
  <si>
    <t xml:space="preserve">전기 </t>
    <phoneticPr fontId="2" type="noConversion"/>
  </si>
  <si>
    <t>온실가스 감축설비 지원사업</t>
    <phoneticPr fontId="2" type="noConversion"/>
  </si>
  <si>
    <t>V</t>
  </si>
  <si>
    <t>인증지침 [별표6]고정연소 연료별 활동자료 단위</t>
    <phoneticPr fontId="2" type="noConversion"/>
  </si>
  <si>
    <t>구분</t>
    <phoneticPr fontId="2" type="noConversion"/>
  </si>
  <si>
    <t>단위</t>
    <phoneticPr fontId="2" type="noConversion"/>
  </si>
  <si>
    <t>① 고체연료</t>
    <phoneticPr fontId="2" type="noConversion"/>
  </si>
  <si>
    <t>ton</t>
    <phoneticPr fontId="2" type="noConversion"/>
  </si>
  <si>
    <t>② 기체연료</t>
    <phoneticPr fontId="2" type="noConversion"/>
  </si>
  <si>
    <t>천 ㎥</t>
    <phoneticPr fontId="2" type="noConversion"/>
  </si>
  <si>
    <t>③ 액체연료</t>
    <phoneticPr fontId="2" type="noConversion"/>
  </si>
  <si>
    <t>㎘</t>
    <phoneticPr fontId="2" type="noConversion"/>
  </si>
  <si>
    <t>액체연료연소</t>
  </si>
  <si>
    <t>이동연소</t>
  </si>
  <si>
    <r>
      <t xml:space="preserve">ㅇ (연두색 셀) 작성, (회색 셀) 자동 입력
ㅇ O~T, AI~AN열에 해당 내용 입력
ㅇ C열은 별도의 누출량이 있을 경우에만 작성
ㅇ 감축량을 나누어 산정하고자 할 경우는 L열의 관리번호를 묶음 단위에 따라 숫자를 입력
</t>
    </r>
    <r>
      <rPr>
        <b/>
        <sz val="14"/>
        <color rgb="FFFF0000"/>
        <rFont val="맑은 고딕"/>
        <family val="3"/>
        <charset val="129"/>
        <scheme val="minor"/>
      </rPr>
      <t>ㅇ 행삭제 및 열삭제 절대금지
ㅇ Tier3 배출계수는 배출량 산정시 Tier3 적용대상 배출시설에만 입력</t>
    </r>
    <phoneticPr fontId="2" type="noConversion"/>
  </si>
  <si>
    <r>
      <t xml:space="preserve">ㅇ (연두색 셀) 작성, (회색 셀) 자동 입력
ㅇ J~N, P~T열에 해당 내용 입력
ㅇ '배출량, 감축량'시트의 단위와 동일한 단위로 작성
</t>
    </r>
    <r>
      <rPr>
        <b/>
        <sz val="16"/>
        <color rgb="FFFF0000"/>
        <rFont val="맑은 고딕"/>
        <family val="3"/>
        <charset val="129"/>
        <scheme val="minor"/>
      </rPr>
      <t>ㅇ 행삭제 및 열삭제 절대금지</t>
    </r>
    <phoneticPr fontId="2" type="noConversion"/>
  </si>
  <si>
    <t>시설비</t>
    <phoneticPr fontId="2" type="noConversion"/>
  </si>
  <si>
    <t>⑤소계</t>
    <phoneticPr fontId="2" type="noConversion"/>
  </si>
  <si>
    <t>④ 부가세</t>
    <phoneticPr fontId="2" type="noConversion"/>
  </si>
  <si>
    <t>③ 미지원
(철거비, 토지구입비 등)</t>
    <phoneticPr fontId="2" type="noConversion"/>
  </si>
  <si>
    <t>합계(지원한도 반영)</t>
    <phoneticPr fontId="2" type="noConversion"/>
  </si>
  <si>
    <t>합계(지원 최대한도액 반영)</t>
    <phoneticPr fontId="2" type="noConversion"/>
  </si>
  <si>
    <t>미지원(철거비 등)</t>
    <phoneticPr fontId="2" type="noConversion"/>
  </si>
  <si>
    <r>
      <t>보조금 산정내역</t>
    </r>
    <r>
      <rPr>
        <b/>
        <sz val="14"/>
        <color rgb="FFFF0000"/>
        <rFont val="맑은 고딕"/>
        <family val="3"/>
        <charset val="129"/>
        <scheme val="minor"/>
      </rPr>
      <t>(부가세제외)</t>
    </r>
    <phoneticPr fontId="2" type="noConversion"/>
  </si>
  <si>
    <t>(A=C+D)</t>
    <phoneticPr fontId="2" type="noConversion"/>
  </si>
  <si>
    <r>
      <t>ㅇ</t>
    </r>
    <r>
      <rPr>
        <sz val="11"/>
        <color theme="1"/>
        <rFont val="맑은 고딕"/>
        <family val="3"/>
        <charset val="129"/>
        <scheme val="minor"/>
      </rPr>
      <t xml:space="preserve"> (연두색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작성</t>
    </r>
    <r>
      <rPr>
        <sz val="11"/>
        <color theme="1"/>
        <rFont val="맑은 고딕"/>
        <family val="3"/>
        <charset val="129"/>
        <scheme val="minor"/>
      </rPr>
      <t xml:space="preserve">, (회색 </t>
    </r>
    <r>
      <rPr>
        <sz val="11"/>
        <color theme="1"/>
        <rFont val="맑은 고딕"/>
        <family val="2"/>
        <charset val="129"/>
        <scheme val="minor"/>
      </rPr>
      <t>셀</t>
    </r>
    <r>
      <rPr>
        <sz val="11"/>
        <color theme="1"/>
        <rFont val="맑은 고딕"/>
        <family val="3"/>
        <charset val="129"/>
        <scheme val="minor"/>
      </rPr>
      <t xml:space="preserve">) </t>
    </r>
    <r>
      <rPr>
        <sz val="11"/>
        <color theme="1"/>
        <rFont val="맑은 고딕"/>
        <family val="2"/>
        <charset val="129"/>
        <scheme val="minor"/>
      </rPr>
      <t>자동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입력
ㅇ H~J열의 보조 비목 및 세목을 X, Y열에서 찾아서 선택
ㅇ K열은 견적이 여러개일 경우 개별 작성(예, 설비구입(파쇄기, 설치공사(전기), 설치공사(기계) 등)
ㅇ L, M열의 경우 세부 산출 내역을 입력하며, 아래와 동일한 산출 내역으로 짙은 녹색 란에 작성
ㅇ N,Q,R열에 예산 내역 입력
ㅇ Q열에는 견적서에는 포함되어있으나, 지원되지 않는 항목(예, 철거비)등을 입력</t>
    </r>
    <phoneticPr fontId="2" type="noConversion"/>
  </si>
  <si>
    <t>← 미사용</t>
    <phoneticPr fontId="2" type="noConversion"/>
  </si>
  <si>
    <r>
      <t>견적금액</t>
    </r>
    <r>
      <rPr>
        <b/>
        <sz val="10"/>
        <color theme="1"/>
        <rFont val="HCI Poppy"/>
        <family val="2"/>
      </rPr>
      <t>2(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</t>
    </r>
    <phoneticPr fontId="2" type="noConversion"/>
  </si>
  <si>
    <r>
      <t>견적금액</t>
    </r>
    <r>
      <rPr>
        <b/>
        <sz val="10"/>
        <color theme="1"/>
        <rFont val="HCI Poppy"/>
        <family val="2"/>
      </rPr>
      <t>3(</t>
    </r>
    <r>
      <rPr>
        <b/>
        <sz val="10"/>
        <color theme="1"/>
        <rFont val="휴먼명조"/>
        <family val="1"/>
        <charset val="129"/>
      </rPr>
      <t>천원</t>
    </r>
    <r>
      <rPr>
        <b/>
        <sz val="10"/>
        <color theme="1"/>
        <rFont val="HCI Poppy"/>
        <family val="2"/>
      </rPr>
      <t>)
[</t>
    </r>
    <r>
      <rPr>
        <b/>
        <sz val="10"/>
        <color theme="1"/>
        <rFont val="휴먼명조"/>
        <family val="1"/>
        <charset val="129"/>
      </rPr>
      <t>최고가</t>
    </r>
    <r>
      <rPr>
        <b/>
        <sz val="10"/>
        <color theme="1"/>
        <rFont val="HCI Poppy"/>
        <family val="2"/>
      </rPr>
      <t>]</t>
    </r>
    <phoneticPr fontId="2" type="noConversion"/>
  </si>
  <si>
    <t>견적금액1(천원)
[최저가]</t>
    <phoneticPr fontId="2" type="noConversion"/>
  </si>
  <si>
    <r>
      <t>자체 계약건수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</si>
  <si>
    <t>옵션0</t>
    <phoneticPr fontId="2" type="noConversion"/>
  </si>
  <si>
    <t>지원비율</t>
    <phoneticPr fontId="2" type="noConversion"/>
  </si>
  <si>
    <t>①국고보조금
(설비투자비 50~70%)</t>
    <phoneticPr fontId="2" type="noConversion"/>
  </si>
  <si>
    <r>
      <t xml:space="preserve">②설비투자비 </t>
    </r>
    <r>
      <rPr>
        <sz val="9"/>
        <color theme="1"/>
        <rFont val="휴먼명조"/>
        <family val="1"/>
        <charset val="129"/>
      </rPr>
      <t>(자부담분)</t>
    </r>
    <phoneticPr fontId="2" type="noConversion"/>
  </si>
  <si>
    <t>설비투자비(자부담분)</t>
    <phoneticPr fontId="2" type="noConversion"/>
  </si>
  <si>
    <t>① A×50~70%</t>
    <phoneticPr fontId="2" type="noConversion"/>
  </si>
  <si>
    <t>(D=B*지원비율)</t>
    <phoneticPr fontId="2" type="noConversion"/>
  </si>
  <si>
    <t>← 자동산정(수정금지)</t>
    <phoneticPr fontId="2" type="noConversion"/>
  </si>
  <si>
    <t>← 미사용</t>
    <phoneticPr fontId="2" type="noConversion"/>
  </si>
  <si>
    <t>← 자동산정(수정금지)</t>
    <phoneticPr fontId="2" type="noConversion"/>
  </si>
  <si>
    <t>← 미사용</t>
    <phoneticPr fontId="2" type="noConversion"/>
  </si>
  <si>
    <t>← 직접입력 또는 드롭박스 선택</t>
    <phoneticPr fontId="2" type="noConversion"/>
  </si>
  <si>
    <t>← Tier3 적용시 배출계수 수기입력</t>
    <phoneticPr fontId="2" type="noConversion"/>
  </si>
  <si>
    <t>← 수정금지</t>
    <phoneticPr fontId="2" type="noConversion"/>
  </si>
  <si>
    <t xml:space="preserve"> </t>
    <phoneticPr fontId="2" type="noConversion"/>
  </si>
  <si>
    <t>그외</t>
    <phoneticPr fontId="2" type="noConversion"/>
  </si>
  <si>
    <t>사무실</t>
    <phoneticPr fontId="2" type="noConversion"/>
  </si>
  <si>
    <t>휴대전화</t>
    <phoneticPr fontId="2" type="noConversion"/>
  </si>
  <si>
    <t>설비 담당자
/직위</t>
    <phoneticPr fontId="2" type="noConversion"/>
  </si>
  <si>
    <t>이메일</t>
    <phoneticPr fontId="2" type="noConversion"/>
  </si>
  <si>
    <t>지원설비 종류</t>
    <phoneticPr fontId="2" type="noConversion"/>
  </si>
  <si>
    <t>포함되지 않음</t>
    <phoneticPr fontId="2" type="noConversion"/>
  </si>
  <si>
    <t>포함</t>
    <phoneticPr fontId="2" type="noConversion"/>
  </si>
  <si>
    <t>집행 가능</t>
    <phoneticPr fontId="2" type="noConversion"/>
  </si>
  <si>
    <t>□ 계약 체결계획</t>
    <phoneticPr fontId="2" type="noConversion"/>
  </si>
  <si>
    <t>계약 내용</t>
    <phoneticPr fontId="2" type="noConversion"/>
  </si>
  <si>
    <t>계</t>
    <phoneticPr fontId="2" type="noConversion"/>
  </si>
  <si>
    <t>□ 연차별 투자계획</t>
    <phoneticPr fontId="2" type="noConversion"/>
  </si>
  <si>
    <r>
      <t>(</t>
    </r>
    <r>
      <rPr>
        <b/>
        <sz val="12"/>
        <color rgb="FF000000"/>
        <rFont val="휴먼명조"/>
        <family val="1"/>
        <charset val="129"/>
      </rPr>
      <t xml:space="preserve">단위 </t>
    </r>
    <r>
      <rPr>
        <b/>
        <sz val="12"/>
        <color rgb="FF000000"/>
        <rFont val="HCI Poppy"/>
        <family val="2"/>
      </rPr>
      <t xml:space="preserve">: </t>
    </r>
    <r>
      <rPr>
        <b/>
        <sz val="12"/>
        <color rgb="FF000000"/>
        <rFont val="휴먼명조"/>
        <family val="1"/>
        <charset val="129"/>
      </rPr>
      <t>원</t>
    </r>
    <r>
      <rPr>
        <b/>
        <sz val="12"/>
        <color rgb="FF000000"/>
        <rFont val="HCI Poppy"/>
        <family val="2"/>
      </rPr>
      <t xml:space="preserve">, </t>
    </r>
    <r>
      <rPr>
        <b/>
        <sz val="12"/>
        <color rgb="FF000000"/>
        <rFont val="휴먼명조"/>
        <family val="1"/>
        <charset val="129"/>
      </rPr>
      <t>부가가치세</t>
    </r>
    <r>
      <rPr>
        <b/>
        <sz val="12"/>
        <color rgb="FF000000"/>
        <rFont val="HCI Poppy"/>
        <family val="2"/>
      </rPr>
      <t xml:space="preserve"> </t>
    </r>
    <r>
      <rPr>
        <b/>
        <sz val="12"/>
        <color rgb="FF000000"/>
        <rFont val="휴먼명조"/>
        <family val="1"/>
        <charset val="129"/>
      </rPr>
      <t>제외</t>
    </r>
    <r>
      <rPr>
        <b/>
        <sz val="12"/>
        <color rgb="FF000000"/>
        <rFont val="HCI Poppy"/>
        <family val="2"/>
      </rPr>
      <t>)</t>
    </r>
    <phoneticPr fontId="2" type="noConversion"/>
  </si>
  <si>
    <t>계</t>
    <phoneticPr fontId="2" type="noConversion"/>
  </si>
  <si>
    <t>구 분</t>
    <phoneticPr fontId="2" type="noConversion"/>
  </si>
  <si>
    <t>보 조 금</t>
    <phoneticPr fontId="2" type="noConversion"/>
  </si>
  <si>
    <t>※ 다년도 사업은 사업기간에 대하여 연도별로 작성</t>
    <phoneticPr fontId="2" type="noConversion"/>
  </si>
  <si>
    <t>□ 예산 집행계획</t>
    <phoneticPr fontId="2" type="noConversion"/>
  </si>
  <si>
    <t>일반용역비</t>
    <phoneticPr fontId="2" type="noConversion"/>
  </si>
  <si>
    <t>보조금</t>
    <phoneticPr fontId="2" type="noConversion"/>
  </si>
  <si>
    <t>총사업비
(①+⑤)</t>
    <phoneticPr fontId="2" type="noConversion"/>
  </si>
  <si>
    <t>내역</t>
    <phoneticPr fontId="2" type="noConversion"/>
  </si>
  <si>
    <r>
      <t>설비투자비</t>
    </r>
    <r>
      <rPr>
        <sz val="11"/>
        <color theme="1"/>
        <rFont val="휴먼명조"/>
        <family val="1"/>
        <charset val="129"/>
      </rPr>
      <t xml:space="preserve">
=①+②</t>
    </r>
    <phoneticPr fontId="2" type="noConversion"/>
  </si>
  <si>
    <t>투자회수기간 산정근거</t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</si>
  <si>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1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개인정보 수집</t>
    </r>
    <r>
      <rPr>
        <sz val="12"/>
        <rFont val="HCI Poppy"/>
        <family val="2"/>
      </rPr>
      <t>·</t>
    </r>
    <r>
      <rPr>
        <sz val="12"/>
        <rFont val="휴먼명조"/>
        <family val="1"/>
        <charset val="129"/>
      </rPr>
      <t>이용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</si>
  <si>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2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정보활용 동의서</t>
    </r>
  </si>
  <si>
    <r>
      <t>[</t>
    </r>
    <r>
      <rPr>
        <sz val="12"/>
        <rFont val="휴먼명조"/>
        <family val="1"/>
        <charset val="129"/>
      </rPr>
      <t>별지 제</t>
    </r>
    <r>
      <rPr>
        <sz val="12"/>
        <rFont val="HCI Poppy"/>
        <family val="2"/>
      </rPr>
      <t>3</t>
    </r>
    <r>
      <rPr>
        <sz val="12"/>
        <rFont val="휴먼명조"/>
        <family val="1"/>
        <charset val="129"/>
      </rPr>
      <t>호서식</t>
    </r>
    <r>
      <rPr>
        <sz val="12"/>
        <rFont val="HCI Poppy"/>
        <family val="2"/>
      </rPr>
      <t xml:space="preserve">] </t>
    </r>
    <r>
      <rPr>
        <sz val="12"/>
        <rFont val="휴먼명조"/>
        <family val="1"/>
        <charset val="129"/>
      </rPr>
      <t>중복지원 금지 확약서</t>
    </r>
  </si>
  <si>
    <r>
      <t>위임장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</si>
  <si>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기업 구분 확인서류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중소기업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중견기업 등</t>
    </r>
    <r>
      <rPr>
        <sz val="12"/>
        <rFont val="HCI Poppy"/>
        <family val="2"/>
      </rPr>
      <t>)</t>
    </r>
  </si>
  <si>
    <r>
      <t>경영상태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신용평가등급</t>
    </r>
    <r>
      <rPr>
        <sz val="12"/>
        <rFont val="HCI Poppy"/>
        <family val="2"/>
      </rPr>
      <t xml:space="preserve">) </t>
    </r>
    <r>
      <rPr>
        <sz val="12"/>
        <rFont val="휴먼명조"/>
        <family val="1"/>
        <charset val="129"/>
      </rPr>
      <t>확인 서류</t>
    </r>
  </si>
  <si>
    <r>
      <t>신규 설비 사양서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구성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성능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효율 등</t>
    </r>
    <r>
      <rPr>
        <sz val="12"/>
        <rFont val="HCI Poppy"/>
        <family val="2"/>
      </rPr>
      <t>)</t>
    </r>
  </si>
  <si>
    <r>
      <t>해당 설비일 경우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고효율에너지기자재 인증서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필요 시</t>
    </r>
    <r>
      <rPr>
        <sz val="12"/>
        <rFont val="HCI Poppy"/>
        <family val="2"/>
      </rPr>
      <t>)</t>
    </r>
  </si>
  <si>
    <r>
      <t>기존 설비 설치도면</t>
    </r>
    <r>
      <rPr>
        <sz val="12"/>
        <rFont val="HCI Poppy"/>
        <family val="2"/>
      </rPr>
      <t xml:space="preserve">, </t>
    </r>
    <r>
      <rPr>
        <sz val="12"/>
        <rFont val="휴먼명조"/>
        <family val="1"/>
        <charset val="129"/>
      </rPr>
      <t>물질수지</t>
    </r>
    <r>
      <rPr>
        <sz val="12"/>
        <rFont val="맑은 고딕"/>
        <family val="3"/>
        <charset val="129"/>
        <scheme val="minor"/>
      </rPr>
      <t xml:space="preserve"> </t>
    </r>
    <r>
      <rPr>
        <sz val="12"/>
        <rFont val="휴먼명조"/>
        <family val="1"/>
        <charset val="129"/>
      </rPr>
      <t>등 관련 자료</t>
    </r>
  </si>
  <si>
    <r>
      <t>기존 설비 운영자료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열 및 전력 사용량 등</t>
    </r>
    <r>
      <rPr>
        <sz val="12"/>
        <rFont val="HCI Poppy"/>
        <family val="2"/>
      </rPr>
      <t>)</t>
    </r>
  </si>
  <si>
    <r>
      <t>감축량 산정 근거자료</t>
    </r>
    <r>
      <rPr>
        <sz val="12"/>
        <rFont val="HCI Poppy"/>
        <family val="2"/>
      </rPr>
      <t xml:space="preserve">(excel </t>
    </r>
    <r>
      <rPr>
        <sz val="12"/>
        <rFont val="휴먼명조"/>
        <family val="1"/>
        <charset val="129"/>
      </rPr>
      <t>등</t>
    </r>
    <r>
      <rPr>
        <sz val="12"/>
        <rFont val="HCI Poppy"/>
        <family val="2"/>
      </rPr>
      <t>)</t>
    </r>
  </si>
  <si>
    <t>운영비(210)</t>
  </si>
  <si>
    <t>일반용역비(14)</t>
  </si>
  <si>
    <t>설치장소
(주소)</t>
    <phoneticPr fontId="2" type="noConversion"/>
  </si>
  <si>
    <t xml:space="preserve">① 탄소무배출설비 </t>
  </si>
  <si>
    <t>④ 탄소포집설비</t>
  </si>
  <si>
    <t>⑤ 연료 전환</t>
  </si>
  <si>
    <t>② 폐에너지회수·이용 설비</t>
    <phoneticPr fontId="2" type="noConversion"/>
  </si>
  <si>
    <t>③ 폐기물 열분해시설</t>
    <phoneticPr fontId="2" type="noConversion"/>
  </si>
  <si>
    <t>지원설비종류</t>
    <phoneticPr fontId="2" type="noConversion"/>
  </si>
  <si>
    <t>기업규모
(택1)</t>
    <phoneticPr fontId="2" type="noConversion"/>
  </si>
  <si>
    <t>TJ</t>
    <phoneticPr fontId="2" type="noConversion"/>
  </si>
  <si>
    <t>간접배출</t>
    <phoneticPr fontId="2" type="noConversion"/>
  </si>
  <si>
    <t>열(스팀)</t>
    <phoneticPr fontId="2" type="noConversion"/>
  </si>
  <si>
    <t>■ 수정이력</t>
    <phoneticPr fontId="2" type="noConversion"/>
  </si>
  <si>
    <t>버전</t>
    <phoneticPr fontId="2" type="noConversion"/>
  </si>
  <si>
    <t>수정내역</t>
    <phoneticPr fontId="2" type="noConversion"/>
  </si>
  <si>
    <t>Ver01.1(2022.01.12)</t>
    <phoneticPr fontId="2" type="noConversion"/>
  </si>
  <si>
    <t>"간접배출"-"열(스팀)"의 배출량 산정오류 수정(산정결과가 ton단위가 아닌 kg단위로 산출되어 ton값으로 산출되도록 수식 수정)</t>
    <phoneticPr fontId="2" type="noConversion"/>
  </si>
  <si>
    <t>Ver01.2(2022.12.08)</t>
    <phoneticPr fontId="2" type="noConversion"/>
  </si>
  <si>
    <t>지침 개정에 따른 수정(기업규모 구분 수정 등)</t>
    <phoneticPr fontId="2" type="noConversion"/>
  </si>
  <si>
    <t>자산
취득비(01)</t>
    <phoneticPr fontId="2" type="noConversion"/>
  </si>
  <si>
    <t>유형자산(430)</t>
    <phoneticPr fontId="2" type="noConversion"/>
  </si>
  <si>
    <t>건설비(420)</t>
    <phoneticPr fontId="2" type="noConversion"/>
  </si>
  <si>
    <t>운영비(210)</t>
    <phoneticPr fontId="2" type="noConversion"/>
  </si>
  <si>
    <t>설계비(02)</t>
    <phoneticPr fontId="2" type="noConversion"/>
  </si>
  <si>
    <t>시설비(03)</t>
    <phoneticPr fontId="2" type="noConversion"/>
  </si>
  <si>
    <t>감리비(04)</t>
    <phoneticPr fontId="2" type="noConversion"/>
  </si>
  <si>
    <t>일반용역비(14)</t>
    <phoneticPr fontId="2" type="noConversion"/>
  </si>
  <si>
    <t>견적금액(VAT제외, 단위 : 원)</t>
  </si>
  <si>
    <t>견적1(최저가)</t>
    <phoneticPr fontId="2" type="noConversion"/>
  </si>
  <si>
    <t>견적2</t>
  </si>
  <si>
    <t>견적3(최고가)</t>
  </si>
  <si>
    <r>
      <t xml:space="preserve">(물품1) </t>
    </r>
    <r>
      <rPr>
        <i/>
        <sz val="12"/>
        <color rgb="FF000000"/>
        <rFont val="휴먼명조"/>
        <family val="1"/>
        <charset val="129"/>
      </rPr>
      <t>물품 계약</t>
    </r>
    <phoneticPr fontId="2" type="noConversion"/>
  </si>
  <si>
    <t>(물품2)</t>
    <phoneticPr fontId="2" type="noConversion"/>
  </si>
  <si>
    <r>
      <t xml:space="preserve">(공사1) </t>
    </r>
    <r>
      <rPr>
        <i/>
        <sz val="12"/>
        <color rgb="FF000000"/>
        <rFont val="휴먼명조"/>
        <family val="1"/>
        <charset val="129"/>
      </rPr>
      <t>공사 계약</t>
    </r>
    <phoneticPr fontId="2" type="noConversion"/>
  </si>
  <si>
    <t>(공사2)</t>
    <phoneticPr fontId="2" type="noConversion"/>
  </si>
  <si>
    <t>(용역1)</t>
    <phoneticPr fontId="2" type="noConversion"/>
  </si>
  <si>
    <t>사업구분</t>
    <phoneticPr fontId="2" type="noConversion"/>
  </si>
  <si>
    <t>단년도</t>
    <phoneticPr fontId="2" type="noConversion"/>
  </si>
  <si>
    <t>다년도(1년차)</t>
    <phoneticPr fontId="2" type="noConversion"/>
  </si>
  <si>
    <t>다년도(2년차)</t>
  </si>
  <si>
    <t>다년도(3년차)</t>
  </si>
  <si>
    <r>
      <t xml:space="preserve">나라장터 이용 계약건수
</t>
    </r>
    <r>
      <rPr>
        <b/>
        <sz val="10"/>
        <color theme="1"/>
        <rFont val="HCI Poppy"/>
        <family val="2"/>
      </rPr>
      <t>(</t>
    </r>
    <r>
      <rPr>
        <b/>
        <sz val="10"/>
        <color theme="1"/>
        <rFont val="휴먼명조"/>
        <family val="1"/>
        <charset val="129"/>
      </rPr>
      <t>지침 참고</t>
    </r>
    <r>
      <rPr>
        <b/>
        <sz val="10"/>
        <color theme="1"/>
        <rFont val="HCI Poppy"/>
        <family val="2"/>
      </rPr>
      <t>)</t>
    </r>
    <phoneticPr fontId="2" type="noConversion"/>
  </si>
  <si>
    <t>해당</t>
    <phoneticPr fontId="2" type="noConversion"/>
  </si>
  <si>
    <t>미해당</t>
    <phoneticPr fontId="2" type="noConversion"/>
  </si>
  <si>
    <r>
      <t xml:space="preserve">해당항목 준수여부 확인 </t>
    </r>
    <r>
      <rPr>
        <b/>
        <sz val="10"/>
        <color theme="1"/>
        <rFont val="Wingdings"/>
        <family val="1"/>
        <charset val="2"/>
      </rPr>
      <t></t>
    </r>
    <r>
      <rPr>
        <b/>
        <sz val="10"/>
        <color theme="1"/>
        <rFont val="휴먼명조"/>
        <family val="1"/>
        <charset val="129"/>
      </rPr>
      <t xml:space="preserve"> </t>
    </r>
    <phoneticPr fontId="2" type="noConversion"/>
  </si>
  <si>
    <t>당해연도 보조금 전액 집행 가능 여부</t>
    <phoneticPr fontId="2" type="noConversion"/>
  </si>
  <si>
    <t>부</t>
    <phoneticPr fontId="2" type="noConversion"/>
  </si>
  <si>
    <t>여</t>
    <phoneticPr fontId="2" type="noConversion"/>
  </si>
  <si>
    <t>설비투자비</t>
    <phoneticPr fontId="2" type="noConversion"/>
  </si>
  <si>
    <t>신청업체가 부도, 화의, 법정관리 중인 경우 1)</t>
    <phoneticPr fontId="2" type="noConversion"/>
  </si>
  <si>
    <t>신청설비에 대해 타 보조금 지원사업과 중복 여부 1)</t>
    <phoneticPr fontId="2" type="noConversion"/>
  </si>
  <si>
    <r>
      <t>보조금 미지원 항목</t>
    </r>
    <r>
      <rPr>
        <b/>
        <sz val="8"/>
        <color theme="1"/>
        <rFont val="휴먼명조"/>
        <family val="1"/>
        <charset val="129"/>
      </rPr>
      <t xml:space="preserve">(건물공사비, 철거비 등) </t>
    </r>
    <r>
      <rPr>
        <b/>
        <sz val="10"/>
        <color theme="1"/>
        <rFont val="휴먼명조"/>
        <family val="1"/>
        <charset val="129"/>
      </rPr>
      <t>포함 여부 2)</t>
    </r>
    <phoneticPr fontId="2" type="noConversion"/>
  </si>
  <si>
    <t>중앙조달(조달청 위탁) 계약 방식 해당 여부 3)</t>
    <phoneticPr fontId="2" type="noConversion"/>
  </si>
  <si>
    <t>당해연도 착공(설치공사) 가능 여부 4)</t>
    <phoneticPr fontId="2" type="noConversion"/>
  </si>
  <si>
    <t>■ 사업계획서(감축설비 지원사업)</t>
    <phoneticPr fontId="2" type="noConversion"/>
  </si>
  <si>
    <t>Ver01.3(2023.12.14)</t>
    <phoneticPr fontId="2" type="noConversion"/>
  </si>
  <si>
    <t>지침 개정에 따른 수정(사업구분 등)</t>
    <phoneticPr fontId="2" type="noConversion"/>
  </si>
  <si>
    <t>⑥ 물질 전환</t>
    <phoneticPr fontId="2" type="noConversion"/>
  </si>
  <si>
    <t>⑦ 불소가스 저감설비</t>
    <phoneticPr fontId="2" type="noConversion"/>
  </si>
  <si>
    <t xml:space="preserve">⑧ 기타 공정개선 </t>
    <phoneticPr fontId="2" type="noConversion"/>
  </si>
  <si>
    <t>⑨ 인버터</t>
    <phoneticPr fontId="2" type="noConversion"/>
  </si>
  <si>
    <t>⑩ 인버터제어형 압축기</t>
    <phoneticPr fontId="2" type="noConversion"/>
  </si>
  <si>
    <t>⑪ 고효율 설비</t>
    <phoneticPr fontId="2" type="noConversion"/>
  </si>
  <si>
    <r>
      <rPr>
        <sz val="9"/>
        <rFont val="맑은 고딕"/>
        <family val="3"/>
        <charset val="129"/>
      </rPr>
      <t>⑫</t>
    </r>
    <r>
      <rPr>
        <sz val="9"/>
        <rFont val="맑은 고딕"/>
        <family val="3"/>
        <charset val="129"/>
        <scheme val="minor"/>
      </rPr>
      <t xml:space="preserve"> 기 타</t>
    </r>
    <phoneticPr fontId="2" type="noConversion"/>
  </si>
  <si>
    <t>보조사업명</t>
    <phoneticPr fontId="2" type="noConversion"/>
  </si>
  <si>
    <t>기업규모</t>
    <phoneticPr fontId="2" type="noConversion"/>
  </si>
  <si>
    <t>산정 활동자료</t>
    <phoneticPr fontId="2" type="noConversion"/>
  </si>
  <si>
    <t>신청업체가 부도, 화의, 법정관리 중인 경우 1)</t>
  </si>
  <si>
    <t>신청설비에 대해 타 보조금 지원사업과 중복 여부 1)</t>
  </si>
  <si>
    <t>보조금 미지원 항목(건물공사비, 철거비 등) 포함 여부 2)</t>
  </si>
  <si>
    <t>중앙조달(조달청 위탁) 계약 방식 해당 여부 3)</t>
  </si>
  <si>
    <t>당해연도 착공(설치공사) 가능 여부 4)</t>
  </si>
  <si>
    <t>당해연도 보조금 전액 집행 가능 여부</t>
  </si>
  <si>
    <r>
      <t xml:space="preserve">ㅇ </t>
    </r>
    <r>
      <rPr>
        <b/>
        <u/>
        <sz val="11"/>
        <rFont val="맑은 고딕"/>
        <family val="3"/>
        <charset val="129"/>
        <scheme val="minor"/>
      </rPr>
      <t>설비 단위</t>
    </r>
    <r>
      <rPr>
        <b/>
        <sz val="11"/>
        <rFont val="맑은 고딕"/>
        <family val="3"/>
        <charset val="129"/>
        <scheme val="minor"/>
      </rPr>
      <t>로 신청서(Excel파일)를 작성</t>
    </r>
    <r>
      <rPr>
        <sz val="11"/>
        <rFont val="맑은 고딕"/>
        <family val="3"/>
        <charset val="129"/>
        <scheme val="minor"/>
      </rPr>
      <t xml:space="preserve">해야 하며, 설비단위 신청사항이 취합된 </t>
    </r>
    <r>
      <rPr>
        <b/>
        <sz val="11"/>
        <rFont val="맑은 고딕"/>
        <family val="3"/>
        <charset val="129"/>
        <scheme val="minor"/>
      </rPr>
      <t>「사업장별 총괄 계획서(별도 Excel파일 및 PDF파일 모두 작성)」</t>
    </r>
    <r>
      <rPr>
        <sz val="11"/>
        <rFont val="맑은 고딕"/>
        <family val="3"/>
        <charset val="129"/>
        <scheme val="minor"/>
      </rPr>
      <t xml:space="preserve">를 작성하여 함께 제출
ㅇ </t>
    </r>
    <r>
      <rPr>
        <b/>
        <sz val="11"/>
        <rFont val="맑은 고딕"/>
        <family val="3"/>
        <charset val="129"/>
        <scheme val="minor"/>
      </rPr>
      <t>모든 시트를 작성하여 제출</t>
    </r>
    <r>
      <rPr>
        <sz val="11"/>
        <rFont val="맑은 고딕"/>
        <family val="3"/>
        <charset val="129"/>
        <scheme val="minor"/>
      </rPr>
      <t xml:space="preserve">
ㅇ </t>
    </r>
    <r>
      <rPr>
        <b/>
        <sz val="11"/>
        <rFont val="맑은 고딕"/>
        <family val="3"/>
        <charset val="129"/>
        <scheme val="minor"/>
      </rPr>
      <t>선택항목(□)은 체크</t>
    </r>
    <r>
      <rPr>
        <sz val="11"/>
        <rFont val="맑은 고딕"/>
        <family val="3"/>
        <charset val="129"/>
        <scheme val="minor"/>
      </rPr>
      <t xml:space="preserve">하며, </t>
    </r>
    <r>
      <rPr>
        <b/>
        <sz val="11"/>
        <rFont val="맑은 고딕"/>
        <family val="3"/>
        <charset val="129"/>
        <scheme val="minor"/>
      </rPr>
      <t>빨간색으로 경고(중복체크 및 사업불가 항목) 표시</t>
    </r>
    <r>
      <rPr>
        <sz val="11"/>
        <rFont val="맑은 고딕"/>
        <family val="3"/>
        <charset val="129"/>
        <scheme val="minor"/>
      </rPr>
      <t xml:space="preserve">될 경우 체크항목을 수정하여 진행
ㅇ </t>
    </r>
    <r>
      <rPr>
        <b/>
        <sz val="11"/>
        <rFont val="맑은 고딕"/>
        <family val="3"/>
        <charset val="129"/>
        <scheme val="minor"/>
      </rPr>
      <t>회색 셀은 자동계산 셀</t>
    </r>
    <r>
      <rPr>
        <sz val="11"/>
        <rFont val="맑은 고딕"/>
        <family val="3"/>
        <charset val="129"/>
        <scheme val="minor"/>
      </rPr>
      <t xml:space="preserve">로 삭제 및 산식변경 금지
ㅇ </t>
    </r>
    <r>
      <rPr>
        <b/>
        <sz val="11"/>
        <rFont val="맑은 고딕"/>
        <family val="3"/>
        <charset val="129"/>
        <scheme val="minor"/>
      </rPr>
      <t>파란색 글씨로 작성된 가이드는 모두 삭제</t>
    </r>
    <r>
      <rPr>
        <sz val="11"/>
        <rFont val="맑은 고딕"/>
        <family val="3"/>
        <charset val="129"/>
        <scheme val="minor"/>
      </rPr>
      <t xml:space="preserve"> 후 신규로 작성(</t>
    </r>
    <r>
      <rPr>
        <b/>
        <sz val="11"/>
        <rFont val="맑은 고딕"/>
        <family val="3"/>
        <charset val="129"/>
        <scheme val="minor"/>
      </rPr>
      <t>글자 색은 검은색으로 변경</t>
    </r>
    <r>
      <rPr>
        <sz val="11"/>
        <rFont val="맑은 고딕"/>
        <family val="3"/>
        <charset val="129"/>
        <scheme val="minor"/>
      </rPr>
      <t xml:space="preserve"> 후 제출)
</t>
    </r>
    <phoneticPr fontId="2" type="noConversion"/>
  </si>
  <si>
    <t>용역 계약</t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</si>
  <si>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해당시설</t>
    </r>
    <r>
      <rPr>
        <sz val="10"/>
        <color rgb="FF000000"/>
        <rFont val="HCI Poppy"/>
        <family val="2"/>
      </rPr>
      <t>(</t>
    </r>
    <r>
      <rPr>
        <sz val="10"/>
        <color rgb="FF000000"/>
        <rFont val="휴먼명조"/>
        <family val="1"/>
        <charset val="129"/>
      </rPr>
      <t>부대설비 및 계측설비 포함</t>
    </r>
    <r>
      <rPr>
        <sz val="10"/>
        <color rgb="FF000000"/>
        <rFont val="HCI Poppy"/>
        <family val="2"/>
      </rPr>
      <t>)</t>
    </r>
    <r>
      <rPr>
        <sz val="10"/>
        <color rgb="FF000000"/>
        <rFont val="휴먼명조"/>
        <family val="1"/>
        <charset val="129"/>
      </rPr>
      <t>의 구입비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설치공사비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감리비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시운전비</t>
    </r>
    <phoneticPr fontId="2" type="noConversion"/>
  </si>
  <si>
    <r>
      <t xml:space="preserve">※ </t>
    </r>
    <r>
      <rPr>
        <sz val="10"/>
        <color rgb="FF000000"/>
        <rFont val="휴먼명조"/>
        <family val="1"/>
        <charset val="129"/>
      </rPr>
      <t xml:space="preserve">미지원 항목 </t>
    </r>
    <r>
      <rPr>
        <sz val="10"/>
        <color rgb="FF000000"/>
        <rFont val="HCI Poppy"/>
        <family val="2"/>
      </rPr>
      <t xml:space="preserve">: </t>
    </r>
    <r>
      <rPr>
        <sz val="10"/>
        <color rgb="FF000000"/>
        <rFont val="휴먼명조"/>
        <family val="1"/>
        <charset val="129"/>
      </rPr>
      <t>부가가치세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토지구입비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건물공사비</t>
    </r>
    <r>
      <rPr>
        <sz val="10"/>
        <color rgb="FF000000"/>
        <rFont val="HCI Poppy"/>
        <family val="2"/>
      </rPr>
      <t xml:space="preserve">, </t>
    </r>
    <r>
      <rPr>
        <sz val="10"/>
        <color rgb="FF000000"/>
        <rFont val="휴먼명조"/>
        <family val="1"/>
        <charset val="129"/>
      </rPr>
      <t>기존시설 철거비</t>
    </r>
    <r>
      <rPr>
        <sz val="10"/>
        <color rgb="FF000000"/>
        <rFont val="HCI Poppy"/>
        <family val="2"/>
      </rPr>
      <t>,</t>
    </r>
    <r>
      <rPr>
        <sz val="10"/>
        <color rgb="FF000000"/>
        <rFont val="맑은 고딕"/>
        <family val="3"/>
        <charset val="129"/>
        <scheme val="minor"/>
      </rPr>
      <t xml:space="preserve"> </t>
    </r>
    <r>
      <rPr>
        <sz val="10"/>
        <color rgb="FF000000"/>
        <rFont val="휴먼명조"/>
        <family val="1"/>
        <charset val="129"/>
      </rPr>
      <t>조달수수료, 컨설팅비 등</t>
    </r>
    <phoneticPr fontId="2" type="noConversion"/>
  </si>
  <si>
    <t>2026년</t>
    <phoneticPr fontId="2" type="noConversion"/>
  </si>
  <si>
    <t>※ 기업 구분 증빙서류 발급안내
  - 중소기업확인서 : 중소기업 현황정보시스템(중소벤처기업부)
  - 중견기업확인서 : 중견기업 정보마당(산업통상자원부)
  - 대기업 확인서류 : 기업집단포털(공정거래위원회), 대기업집단 지정결과(상호출자제한기업), 그 외
  - 공공기관 확인서류 : 공공기관 경영정보 공개시스템(ALIO) 통합공시 보고서(기획재정부)</t>
    <phoneticPr fontId="2" type="noConversion"/>
  </si>
  <si>
    <t>집단에너지사업자 연료전환</t>
    <phoneticPr fontId="2" type="noConversion"/>
  </si>
  <si>
    <t>2027년</t>
    <phoneticPr fontId="2" type="noConversion"/>
  </si>
  <si>
    <t>재원(자기부담금) 충당 계획(일정 등)</t>
    <phoneticPr fontId="2" type="noConversion"/>
  </si>
  <si>
    <t>할당대상업체 지정 통보서</t>
    <phoneticPr fontId="2" type="noConversion"/>
  </si>
  <si>
    <t>선택16</t>
  </si>
  <si>
    <t>저탄소 제품 도입 관련 유효 인증서(필요시)</t>
    <phoneticPr fontId="2" type="noConversion"/>
  </si>
  <si>
    <t>선택17</t>
  </si>
  <si>
    <t>※ 7, 13, 18번 항목 이외의 서류는 반드시 제출해야 합</t>
    <phoneticPr fontId="2" type="noConversion"/>
  </si>
  <si>
    <t>Ver01.4(2025.12.23)</t>
    <phoneticPr fontId="2" type="noConversion"/>
  </si>
  <si>
    <t>Ver.01.4</t>
    <phoneticPr fontId="2" type="noConversion"/>
  </si>
  <si>
    <t>지침 개정에 따른 수정(발전/발전외, 유상/무상, 자부담금 마련 계획, 첨부서류 등)</t>
    <phoneticPr fontId="2" type="noConversion"/>
  </si>
  <si>
    <r>
      <t>견적서</t>
    </r>
    <r>
      <rPr>
        <sz val="12"/>
        <rFont val="HCI Poppy"/>
        <family val="2"/>
      </rPr>
      <t>(</t>
    </r>
    <r>
      <rPr>
        <sz val="12"/>
        <rFont val="휴먼명조"/>
        <family val="1"/>
        <charset val="129"/>
      </rPr>
      <t>계약 건당 각 2부</t>
    </r>
    <r>
      <rPr>
        <sz val="12"/>
        <rFont val="HCI Poppy"/>
        <family val="2"/>
      </rPr>
      <t>)</t>
    </r>
    <phoneticPr fontId="2" type="noConversion"/>
  </si>
  <si>
    <r>
      <t>← 직접입력</t>
    </r>
    <r>
      <rPr>
        <b/>
        <sz val="16"/>
        <color rgb="FF0000FF"/>
        <rFont val="맑은 고딕"/>
        <family val="3"/>
        <charset val="129"/>
        <scheme val="minor"/>
      </rPr>
      <t>(입력값은 예시임. 삭제후 신규 작성)</t>
    </r>
    <phoneticPr fontId="2" type="noConversion"/>
  </si>
  <si>
    <t>(입력값은 예시로 모두 삭제 후 신규작성)</t>
    <phoneticPr fontId="2" type="noConversion"/>
  </si>
  <si>
    <r>
      <t>← 직접입력</t>
    </r>
    <r>
      <rPr>
        <b/>
        <sz val="12"/>
        <color rgb="FF0000FF"/>
        <rFont val="맑은 고딕"/>
        <family val="3"/>
        <charset val="129"/>
        <scheme val="minor"/>
      </rPr>
      <t>(입력값은 예시로 삭제후 신규작성)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</si>
</sst>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176" formatCode="&quot;천원&quot;"/>
    <numFmt numFmtId="177" formatCode="#,###&quot;천원&quot;"/>
    <numFmt numFmtId="178" formatCode="#,###&quot;개&quot;"/>
    <numFmt numFmtId="179" formatCode="#&quot;년&quot;"/>
    <numFmt numFmtId="180" formatCode="#,##0_ "/>
    <numFmt numFmtId="181" formatCode="#,##0.000;\△#,##0.000;\-"/>
    <numFmt numFmtId="182" formatCode="#,##0.0;\△#,##0.0;\-"/>
    <numFmt numFmtId="183" formatCode="[&gt;=10]#,###;0.0000"/>
    <numFmt numFmtId="184" formatCode="[&gt;=1]#,###.0;[&gt;0]0.0000000;\-"/>
    <numFmt numFmtId="185" formatCode="[&gt;=1]#,###;0.000"/>
    <numFmt numFmtId="186" formatCode="#,##0;\△#,##0;\-"/>
    <numFmt numFmtId="187" formatCode="_-* #,##0.0000_-;\-* #,##0.0000_-;_-* &quot;-&quot;_-;_-@_-"/>
    <numFmt numFmtId="188" formatCode="0.0000000"/>
    <numFmt numFmtId="189" formatCode="0;\-0;;@"/>
    <numFmt numFmtId="190" formatCode="0.0%"/>
  </numFmts>
  <fonts count="122">
    <font>
      <sz val="11"/>
      <color theme="1"/>
      <name val="맑은 고딕"/>
      <family val="2"/>
      <charset val="129"/>
      <scheme val="minor"/>
    </font>
    <font>
      <b/>
      <sz val="15"/>
      <color rgb="FF0000FF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휴먼명조"/>
      <family val="1"/>
      <charset val="129"/>
    </font>
    <font>
      <sz val="12"/>
      <color theme="1"/>
      <name val="휴먼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10"/>
      <color theme="1"/>
      <name val="HCI Poppy"/>
      <family val="2"/>
    </font>
    <font>
      <sz val="10"/>
      <color theme="1"/>
      <name val="휴먼명조"/>
      <family val="1"/>
      <charset val="129"/>
    </font>
    <font>
      <b/>
      <sz val="12"/>
      <color theme="1"/>
      <name val="휴먼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5"/>
      <color rgb="FF000000"/>
      <name val="HY헤드라인M"/>
      <family val="1"/>
      <charset val="129"/>
    </font>
    <font>
      <sz val="13"/>
      <color rgb="FF000000"/>
      <name val="HY헤드라인M"/>
      <family val="1"/>
      <charset val="129"/>
    </font>
    <font>
      <b/>
      <sz val="12"/>
      <color rgb="FF000000"/>
      <name val="휴먼명조"/>
      <family val="1"/>
      <charset val="129"/>
    </font>
    <font>
      <sz val="12"/>
      <color rgb="FF000000"/>
      <name val="휴먼명조"/>
      <family val="1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HCI Poppy"/>
      <family val="2"/>
    </font>
    <font>
      <sz val="10"/>
      <color rgb="FF000000"/>
      <name val="HCI Poppy"/>
      <family val="2"/>
    </font>
    <font>
      <sz val="10"/>
      <color rgb="FF000000"/>
      <name val="휴먼명조"/>
      <family val="1"/>
      <charset val="129"/>
    </font>
    <font>
      <sz val="10"/>
      <color rgb="FF000000"/>
      <name val="맑은 고딕"/>
      <family val="3"/>
      <charset val="129"/>
      <scheme val="minor"/>
    </font>
    <font>
      <i/>
      <sz val="12"/>
      <color rgb="FF0000FF"/>
      <name val="휴먼명조"/>
      <family val="1"/>
      <charset val="129"/>
    </font>
    <font>
      <sz val="10"/>
      <color rgb="FF000000"/>
      <name val="한양중고딕"/>
      <family val="3"/>
      <charset val="129"/>
    </font>
    <font>
      <sz val="13"/>
      <color theme="1"/>
      <name val="HY헤드라인M"/>
      <family val="1"/>
      <charset val="129"/>
    </font>
    <font>
      <b/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11"/>
      <color rgb="FF000000"/>
      <name val="신명 중명조"/>
      <family val="3"/>
      <charset val="129"/>
    </font>
    <font>
      <i/>
      <sz val="10"/>
      <color rgb="FF0000FF"/>
      <name val="휴먼명조"/>
      <family val="1"/>
      <charset val="129"/>
    </font>
    <font>
      <sz val="11"/>
      <color theme="1"/>
      <name val="휴먼명조"/>
      <family val="1"/>
      <charset val="129"/>
    </font>
    <font>
      <b/>
      <sz val="12"/>
      <color rgb="FF000000"/>
      <name val="HCI Poppy"/>
      <family val="2"/>
    </font>
    <font>
      <i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8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color theme="2" tint="-0.89999084444715716"/>
      <name val="맑은 고딕"/>
      <family val="3"/>
      <charset val="129"/>
      <scheme val="minor"/>
    </font>
    <font>
      <b/>
      <sz val="11"/>
      <color theme="2" tint="-0.89999084444715716"/>
      <name val="맑은 고딕"/>
      <family val="3"/>
      <charset val="129"/>
    </font>
    <font>
      <sz val="11"/>
      <color theme="2" tint="-0.89999084444715716"/>
      <name val="맑은 고딕"/>
      <family val="3"/>
      <charset val="129"/>
    </font>
    <font>
      <b/>
      <sz val="11"/>
      <color theme="2" tint="-0.89999084444715716"/>
      <name val="맑은 고딕"/>
      <family val="3"/>
      <charset val="129"/>
      <scheme val="minor"/>
    </font>
    <font>
      <sz val="11"/>
      <color theme="2" tint="-0.89999084444715716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 tint="0.499984740745262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1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2"/>
      <color theme="2" tint="-0.89999084444715716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trike/>
      <sz val="11"/>
      <color rgb="FFFF0000"/>
      <name val="맑은 고딕"/>
      <family val="2"/>
      <scheme val="minor"/>
    </font>
    <font>
      <strike/>
      <sz val="11"/>
      <color rgb="FFFF000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trike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맑은 고딕"/>
      <family val="3"/>
      <charset val="129"/>
      <scheme val="minor"/>
    </font>
    <font>
      <b/>
      <sz val="8"/>
      <color rgb="FF000000"/>
      <name val="HY중고딕"/>
      <family val="1"/>
      <charset val="129"/>
    </font>
    <font>
      <b/>
      <i/>
      <sz val="8"/>
      <color rgb="FF000000"/>
      <name val="HY중고딕"/>
      <family val="1"/>
      <charset val="129"/>
    </font>
    <font>
      <b/>
      <sz val="14"/>
      <color theme="1"/>
      <name val="휴먼명조"/>
      <family val="1"/>
      <charset val="129"/>
    </font>
    <font>
      <b/>
      <sz val="18"/>
      <color theme="1"/>
      <name val="휴먼명조"/>
      <family val="1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1"/>
      <name val="휴먼명조"/>
      <family val="1"/>
      <charset val="129"/>
    </font>
    <font>
      <b/>
      <sz val="1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2"/>
      <color indexed="81"/>
      <name val="돋움"/>
      <family val="3"/>
      <charset val="129"/>
    </font>
    <font>
      <b/>
      <sz val="12"/>
      <color indexed="81"/>
      <name val="Tahoma"/>
      <family val="2"/>
    </font>
    <font>
      <b/>
      <sz val="12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2"/>
      <color indexed="10"/>
      <name val="맑은 고딕"/>
      <family val="3"/>
      <charset val="129"/>
    </font>
    <font>
      <b/>
      <sz val="10"/>
      <color theme="1"/>
      <name val="HCI Poppy"/>
      <family val="2"/>
    </font>
    <font>
      <sz val="11"/>
      <color rgb="FF0000FF"/>
      <name val="맑은 고딕"/>
      <family val="3"/>
      <charset val="129"/>
      <scheme val="minor"/>
    </font>
    <font>
      <b/>
      <sz val="18"/>
      <color rgb="FF0000FF"/>
      <name val="맑은 고딕"/>
      <family val="3"/>
      <charset val="129"/>
      <scheme val="minor"/>
    </font>
    <font>
      <sz val="9"/>
      <color theme="1"/>
      <name val="휴먼명조"/>
      <family val="1"/>
      <charset val="129"/>
    </font>
    <font>
      <b/>
      <sz val="10"/>
      <color rgb="FF000000"/>
      <name val="HY중고딕"/>
      <family val="1"/>
      <charset val="129"/>
    </font>
    <font>
      <b/>
      <i/>
      <sz val="10"/>
      <color rgb="FF000000"/>
      <name val="HY중고딕"/>
      <family val="1"/>
      <charset val="129"/>
    </font>
    <font>
      <sz val="20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9"/>
      <color rgb="FF000000"/>
      <name val="Malgun Gothic"/>
      <family val="3"/>
      <charset val="129"/>
    </font>
    <font>
      <i/>
      <sz val="12"/>
      <color rgb="FF000000"/>
      <name val="휴먼명조"/>
      <family val="1"/>
      <charset val="129"/>
    </font>
    <font>
      <sz val="12"/>
      <name val="HCI Poppy"/>
      <family val="2"/>
    </font>
    <font>
      <sz val="12"/>
      <name val="휴먼명조"/>
      <family val="1"/>
      <charset val="129"/>
    </font>
    <font>
      <sz val="12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8"/>
      <color indexed="81"/>
      <name val="돋움"/>
      <family val="3"/>
      <charset val="129"/>
    </font>
    <font>
      <b/>
      <sz val="11"/>
      <color indexed="10"/>
      <name val="맑은 고딕"/>
      <family val="3"/>
      <charset val="129"/>
    </font>
    <font>
      <b/>
      <sz val="11"/>
      <color indexed="81"/>
      <name val="Tahoma"/>
      <family val="2"/>
    </font>
    <font>
      <b/>
      <sz val="11"/>
      <color indexed="81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12"/>
      <color rgb="FF0000FF"/>
      <name val="휴먼명조"/>
      <family val="1"/>
      <charset val="129"/>
    </font>
    <font>
      <sz val="12"/>
      <color theme="1"/>
      <name val="휴먼명조"/>
      <family val="1"/>
      <charset val="129"/>
    </font>
    <font>
      <b/>
      <sz val="10"/>
      <color theme="1"/>
      <name val="Wingdings"/>
      <family val="1"/>
      <charset val="2"/>
    </font>
    <font>
      <b/>
      <sz val="8"/>
      <color theme="1"/>
      <name val="휴먼명조"/>
      <family val="1"/>
      <charset val="129"/>
    </font>
    <font>
      <b/>
      <sz val="9"/>
      <color indexed="81"/>
      <name val="MS Gothic"/>
      <family val="3"/>
      <charset val="128"/>
    </font>
    <font>
      <sz val="9"/>
      <name val="맑은 고딕"/>
      <family val="3"/>
      <charset val="129"/>
    </font>
    <font>
      <b/>
      <u/>
      <sz val="11"/>
      <name val="맑은 고딕"/>
      <family val="3"/>
      <charset val="129"/>
      <scheme val="minor"/>
    </font>
    <font>
      <b/>
      <sz val="10"/>
      <color rgb="FFFF0000"/>
      <name val="한양중고딕"/>
      <family val="3"/>
      <charset val="129"/>
    </font>
    <font>
      <b/>
      <sz val="9"/>
      <color rgb="FFFF0000"/>
      <name val="맑은 고딕"/>
      <family val="3"/>
      <charset val="129"/>
      <scheme val="major"/>
    </font>
    <font>
      <i/>
      <sz val="11"/>
      <color rgb="FF0000FF"/>
      <name val="맑은 고딕"/>
      <family val="3"/>
      <charset val="129"/>
      <scheme val="minor"/>
    </font>
    <font>
      <i/>
      <sz val="9"/>
      <color rgb="FF0000FF"/>
      <name val="맑은 고딕"/>
      <family val="3"/>
      <charset val="129"/>
      <scheme val="minor"/>
    </font>
    <font>
      <b/>
      <sz val="16"/>
      <color rgb="FF0000FF"/>
      <name val="맑은 고딕"/>
      <family val="3"/>
      <charset val="129"/>
      <scheme val="minor"/>
    </font>
    <font>
      <sz val="8"/>
      <color rgb="FF0000FF"/>
      <name val="맑은 고딕"/>
      <family val="3"/>
      <charset val="129"/>
      <scheme val="minor"/>
    </font>
    <font>
      <i/>
      <sz val="8"/>
      <color rgb="FF0000FF"/>
      <name val="맑은 고딕"/>
      <family val="3"/>
      <charset val="129"/>
      <scheme val="minor"/>
    </font>
    <font>
      <i/>
      <sz val="8"/>
      <name val="맑은 고딕"/>
      <family val="3"/>
      <charset val="129"/>
      <scheme val="minor"/>
    </font>
    <font>
      <i/>
      <sz val="11"/>
      <name val="맑은 고딕"/>
      <family val="3"/>
      <charset val="129"/>
      <scheme val="minor"/>
    </font>
    <font>
      <b/>
      <sz val="8"/>
      <color rgb="FF0000FF"/>
      <name val="맑은 고딕"/>
      <family val="3"/>
      <charset val="129"/>
      <scheme val="minor"/>
    </font>
    <font>
      <b/>
      <sz val="12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14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ck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/>
      <top style="thick">
        <color rgb="FF0000FF"/>
      </top>
      <bottom style="thick">
        <color rgb="FF0000FF"/>
      </bottom>
      <diagonal/>
    </border>
    <border>
      <left/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n">
        <color rgb="FF000000"/>
      </right>
      <top style="thick">
        <color rgb="FF0000FF"/>
      </top>
      <bottom style="thick">
        <color rgb="FF0000FF"/>
      </bottom>
      <diagonal/>
    </border>
    <border>
      <left style="thin">
        <color rgb="FF000000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 style="thick">
        <color rgb="FF0000FF"/>
      </bottom>
      <diagonal/>
    </border>
    <border>
      <left/>
      <right/>
      <top/>
      <bottom style="thick">
        <color rgb="FF0000FF"/>
      </bottom>
      <diagonal/>
    </border>
    <border>
      <left/>
      <right style="thin">
        <color rgb="FF000000"/>
      </right>
      <top/>
      <bottom style="thick">
        <color rgb="FF0000FF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</borders>
  <cellStyleXfs count="5">
    <xf numFmtId="0" fontId="0" fillId="0" borderId="0">
      <alignment vertical="center"/>
    </xf>
    <xf numFmtId="4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48" fillId="0" borderId="0"/>
  </cellStyleXfs>
  <cellXfs count="6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Alignment="1">
      <alignment vertical="center" wrapText="1"/>
    </xf>
    <xf numFmtId="0" fontId="27" fillId="7" borderId="24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32" fillId="0" borderId="0" xfId="0" applyFont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4" fillId="0" borderId="0" xfId="0" applyFont="1">
      <alignment vertical="center"/>
    </xf>
    <xf numFmtId="0" fontId="35" fillId="0" borderId="0" xfId="3">
      <alignment vertical="center"/>
    </xf>
    <xf numFmtId="0" fontId="37" fillId="0" borderId="0" xfId="0" applyFont="1">
      <alignment vertical="center"/>
    </xf>
    <xf numFmtId="0" fontId="35" fillId="0" borderId="50" xfId="3" applyBorder="1">
      <alignment vertical="center"/>
    </xf>
    <xf numFmtId="0" fontId="38" fillId="0" borderId="0" xfId="0" applyFont="1">
      <alignment vertical="center"/>
    </xf>
    <xf numFmtId="0" fontId="0" fillId="0" borderId="51" xfId="0" applyBorder="1">
      <alignment vertical="center"/>
    </xf>
    <xf numFmtId="0" fontId="39" fillId="0" borderId="0" xfId="0" applyFont="1">
      <alignment vertical="center"/>
    </xf>
    <xf numFmtId="0" fontId="9" fillId="0" borderId="0" xfId="0" applyFont="1">
      <alignment vertical="center"/>
    </xf>
    <xf numFmtId="0" fontId="22" fillId="11" borderId="10" xfId="0" applyFont="1" applyFill="1" applyBorder="1" applyAlignment="1">
      <alignment horizontal="centerContinuous" vertical="center"/>
    </xf>
    <xf numFmtId="0" fontId="22" fillId="11" borderId="34" xfId="0" applyFont="1" applyFill="1" applyBorder="1" applyAlignment="1">
      <alignment horizontal="centerContinuous" vertical="center"/>
    </xf>
    <xf numFmtId="0" fontId="22" fillId="8" borderId="52" xfId="0" applyFont="1" applyFill="1" applyBorder="1" applyAlignment="1">
      <alignment horizontal="centerContinuous" vertical="center"/>
    </xf>
    <xf numFmtId="0" fontId="22" fillId="8" borderId="10" xfId="0" applyFont="1" applyFill="1" applyBorder="1" applyAlignment="1">
      <alignment horizontal="centerContinuous" vertical="center"/>
    </xf>
    <xf numFmtId="0" fontId="22" fillId="8" borderId="34" xfId="0" applyFont="1" applyFill="1" applyBorder="1" applyAlignment="1">
      <alignment horizontal="centerContinuous" vertical="center"/>
    </xf>
    <xf numFmtId="0" fontId="22" fillId="8" borderId="53" xfId="0" applyFont="1" applyFill="1" applyBorder="1" applyAlignment="1">
      <alignment horizontal="centerContinuous" vertical="center"/>
    </xf>
    <xf numFmtId="0" fontId="22" fillId="9" borderId="10" xfId="0" applyFont="1" applyFill="1" applyBorder="1" applyAlignment="1">
      <alignment horizontal="centerContinuous" vertical="center"/>
    </xf>
    <xf numFmtId="0" fontId="24" fillId="0" borderId="0" xfId="0" applyFont="1">
      <alignment vertical="center"/>
    </xf>
    <xf numFmtId="0" fontId="22" fillId="11" borderId="10" xfId="0" applyFont="1" applyFill="1" applyBorder="1">
      <alignment vertical="center"/>
    </xf>
    <xf numFmtId="0" fontId="22" fillId="11" borderId="34" xfId="0" applyFont="1" applyFill="1" applyBorder="1">
      <alignment vertical="center"/>
    </xf>
    <xf numFmtId="0" fontId="22" fillId="8" borderId="52" xfId="0" applyFont="1" applyFill="1" applyBorder="1" applyAlignment="1">
      <alignment horizontal="center" vertical="center"/>
    </xf>
    <xf numFmtId="0" fontId="22" fillId="8" borderId="10" xfId="0" applyFont="1" applyFill="1" applyBorder="1" applyAlignment="1">
      <alignment horizontal="center" vertical="center"/>
    </xf>
    <xf numFmtId="0" fontId="22" fillId="8" borderId="34" xfId="0" applyFont="1" applyFill="1" applyBorder="1" applyAlignment="1">
      <alignment horizontal="center" vertical="center"/>
    </xf>
    <xf numFmtId="0" fontId="22" fillId="8" borderId="53" xfId="0" applyFont="1" applyFill="1" applyBorder="1" applyAlignment="1">
      <alignment horizontal="center" vertical="center"/>
    </xf>
    <xf numFmtId="0" fontId="39" fillId="12" borderId="10" xfId="0" applyFont="1" applyFill="1" applyBorder="1" applyAlignment="1">
      <alignment horizontal="centerContinuous" vertical="center"/>
    </xf>
    <xf numFmtId="0" fontId="22" fillId="13" borderId="10" xfId="0" applyFont="1" applyFill="1" applyBorder="1" applyAlignment="1">
      <alignment horizontal="centerContinuous" vertical="center"/>
    </xf>
    <xf numFmtId="0" fontId="22" fillId="13" borderId="53" xfId="0" applyFont="1" applyFill="1" applyBorder="1" applyAlignment="1">
      <alignment horizontal="centerContinuous" vertical="center"/>
    </xf>
    <xf numFmtId="0" fontId="22" fillId="14" borderId="37" xfId="0" applyFont="1" applyFill="1" applyBorder="1" applyAlignment="1">
      <alignment horizontal="centerContinuous" vertical="center"/>
    </xf>
    <xf numFmtId="0" fontId="22" fillId="14" borderId="10" xfId="0" applyFont="1" applyFill="1" applyBorder="1" applyAlignment="1">
      <alignment horizontal="centerContinuous" vertical="center"/>
    </xf>
    <xf numFmtId="0" fontId="40" fillId="15" borderId="44" xfId="0" applyFont="1" applyFill="1" applyBorder="1" applyAlignment="1">
      <alignment horizontal="center" vertical="center" wrapText="1"/>
    </xf>
    <xf numFmtId="0" fontId="40" fillId="15" borderId="10" xfId="0" applyFont="1" applyFill="1" applyBorder="1" applyAlignment="1">
      <alignment horizontal="center" vertical="center" wrapText="1"/>
    </xf>
    <xf numFmtId="0" fontId="41" fillId="15" borderId="44" xfId="0" applyFont="1" applyFill="1" applyBorder="1" applyAlignment="1">
      <alignment horizontal="center" vertical="center" wrapText="1"/>
    </xf>
    <xf numFmtId="0" fontId="41" fillId="15" borderId="44" xfId="0" applyFont="1" applyFill="1" applyBorder="1" applyAlignment="1">
      <alignment vertical="center" wrapText="1"/>
    </xf>
    <xf numFmtId="0" fontId="42" fillId="15" borderId="44" xfId="0" applyFont="1" applyFill="1" applyBorder="1" applyAlignment="1">
      <alignment horizontal="center" vertical="center" wrapText="1"/>
    </xf>
    <xf numFmtId="0" fontId="42" fillId="15" borderId="44" xfId="0" applyFont="1" applyFill="1" applyBorder="1" applyAlignment="1">
      <alignment vertical="center" wrapText="1"/>
    </xf>
    <xf numFmtId="0" fontId="43" fillId="15" borderId="44" xfId="0" applyFont="1" applyFill="1" applyBorder="1" applyAlignment="1">
      <alignment horizontal="center" vertical="center" wrapText="1"/>
    </xf>
    <xf numFmtId="0" fontId="44" fillId="15" borderId="44" xfId="0" applyFont="1" applyFill="1" applyBorder="1">
      <alignment vertical="center"/>
    </xf>
    <xf numFmtId="0" fontId="0" fillId="15" borderId="44" xfId="0" applyFill="1" applyBorder="1">
      <alignment vertical="center"/>
    </xf>
    <xf numFmtId="0" fontId="22" fillId="11" borderId="10" xfId="0" applyFont="1" applyFill="1" applyBorder="1" applyAlignment="1">
      <alignment horizontal="center" vertical="center"/>
    </xf>
    <xf numFmtId="0" fontId="22" fillId="11" borderId="34" xfId="0" applyFont="1" applyFill="1" applyBorder="1" applyAlignment="1">
      <alignment horizontal="center" vertical="center" wrapText="1"/>
    </xf>
    <xf numFmtId="0" fontId="22" fillId="8" borderId="52" xfId="0" applyFont="1" applyFill="1" applyBorder="1" applyAlignment="1">
      <alignment horizontal="center" vertical="center" wrapText="1"/>
    </xf>
    <xf numFmtId="0" fontId="22" fillId="8" borderId="10" xfId="0" applyFont="1" applyFill="1" applyBorder="1" applyAlignment="1">
      <alignment horizontal="center" vertical="center" wrapText="1"/>
    </xf>
    <xf numFmtId="0" fontId="22" fillId="8" borderId="53" xfId="0" applyFont="1" applyFill="1" applyBorder="1" applyAlignment="1">
      <alignment horizontal="center" vertical="center" wrapText="1"/>
    </xf>
    <xf numFmtId="0" fontId="39" fillId="12" borderId="10" xfId="0" applyFont="1" applyFill="1" applyBorder="1" applyAlignment="1">
      <alignment horizontal="center" vertical="center" wrapText="1"/>
    </xf>
    <xf numFmtId="0" fontId="22" fillId="13" borderId="10" xfId="0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center" vertical="center" wrapText="1"/>
    </xf>
    <xf numFmtId="0" fontId="22" fillId="13" borderId="53" xfId="0" applyFont="1" applyFill="1" applyBorder="1" applyAlignment="1">
      <alignment horizontal="center" vertical="center" wrapText="1"/>
    </xf>
    <xf numFmtId="0" fontId="22" fillId="14" borderId="37" xfId="0" applyFont="1" applyFill="1" applyBorder="1" applyAlignment="1">
      <alignment horizontal="center" vertical="center"/>
    </xf>
    <xf numFmtId="0" fontId="22" fillId="14" borderId="10" xfId="0" applyFont="1" applyFill="1" applyBorder="1" applyAlignment="1">
      <alignment horizontal="center" vertical="center" wrapText="1"/>
    </xf>
    <xf numFmtId="0" fontId="22" fillId="14" borderId="1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5" fillId="0" borderId="54" xfId="3" applyBorder="1">
      <alignment vertical="center"/>
    </xf>
    <xf numFmtId="0" fontId="41" fillId="15" borderId="11" xfId="0" applyFont="1" applyFill="1" applyBorder="1" applyAlignment="1">
      <alignment horizontal="center" vertical="center" wrapText="1"/>
    </xf>
    <xf numFmtId="0" fontId="41" fillId="15" borderId="10" xfId="0" applyFont="1" applyFill="1" applyBorder="1" applyAlignment="1">
      <alignment horizontal="center" vertical="center" wrapText="1"/>
    </xf>
    <xf numFmtId="0" fontId="41" fillId="15" borderId="11" xfId="0" applyFont="1" applyFill="1" applyBorder="1" applyAlignment="1">
      <alignment vertical="center" wrapText="1"/>
    </xf>
    <xf numFmtId="0" fontId="41" fillId="15" borderId="35" xfId="0" applyFont="1" applyFill="1" applyBorder="1" applyAlignment="1">
      <alignment horizontal="center" vertical="center" wrapText="1"/>
    </xf>
    <xf numFmtId="0" fontId="42" fillId="15" borderId="11" xfId="0" applyFont="1" applyFill="1" applyBorder="1" applyAlignment="1">
      <alignment horizontal="center" vertical="center" wrapText="1"/>
    </xf>
    <xf numFmtId="0" fontId="42" fillId="15" borderId="36" xfId="0" applyFont="1" applyFill="1" applyBorder="1" applyAlignment="1">
      <alignment horizontal="center" vertical="center" wrapText="1"/>
    </xf>
    <xf numFmtId="0" fontId="43" fillId="15" borderId="11" xfId="0" applyFont="1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 shrinkToFit="1"/>
    </xf>
    <xf numFmtId="0" fontId="44" fillId="15" borderId="11" xfId="0" applyFont="1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/>
    </xf>
    <xf numFmtId="0" fontId="43" fillId="15" borderId="55" xfId="0" applyFont="1" applyFill="1" applyBorder="1" applyAlignment="1">
      <alignment horizontal="center" vertical="center" wrapText="1"/>
    </xf>
    <xf numFmtId="0" fontId="46" fillId="17" borderId="10" xfId="0" applyFont="1" applyFill="1" applyBorder="1">
      <alignment vertical="center"/>
    </xf>
    <xf numFmtId="0" fontId="22" fillId="17" borderId="10" xfId="0" applyFont="1" applyFill="1" applyBorder="1" applyAlignment="1">
      <alignment horizontal="centerContinuous" vertical="center"/>
    </xf>
    <xf numFmtId="0" fontId="22" fillId="17" borderId="34" xfId="0" applyFont="1" applyFill="1" applyBorder="1" applyAlignment="1">
      <alignment horizontal="centerContinuous" vertical="center"/>
    </xf>
    <xf numFmtId="181" fontId="22" fillId="17" borderId="10" xfId="0" applyNumberFormat="1" applyFont="1" applyFill="1" applyBorder="1" applyAlignment="1">
      <alignment horizontal="right" vertical="center" wrapText="1"/>
    </xf>
    <xf numFmtId="181" fontId="22" fillId="17" borderId="34" xfId="0" applyNumberFormat="1" applyFont="1" applyFill="1" applyBorder="1" applyAlignment="1">
      <alignment horizontal="right" vertical="center" wrapText="1"/>
    </xf>
    <xf numFmtId="0" fontId="47" fillId="17" borderId="56" xfId="0" applyFont="1" applyFill="1" applyBorder="1">
      <alignment vertical="center"/>
    </xf>
    <xf numFmtId="182" fontId="47" fillId="17" borderId="37" xfId="0" applyNumberFormat="1" applyFont="1" applyFill="1" applyBorder="1" applyAlignment="1">
      <alignment horizontal="center" vertical="center" wrapText="1"/>
    </xf>
    <xf numFmtId="182" fontId="22" fillId="17" borderId="34" xfId="0" applyNumberFormat="1" applyFont="1" applyFill="1" applyBorder="1" applyAlignment="1">
      <alignment horizontal="right" vertical="center" wrapText="1"/>
    </xf>
    <xf numFmtId="182" fontId="22" fillId="17" borderId="57" xfId="0" applyNumberFormat="1" applyFont="1" applyFill="1" applyBorder="1" applyAlignment="1">
      <alignment horizontal="right" vertical="center" wrapText="1"/>
    </xf>
    <xf numFmtId="182" fontId="47" fillId="17" borderId="56" xfId="0" applyNumberFormat="1" applyFont="1" applyFill="1" applyBorder="1" applyAlignment="1">
      <alignment horizontal="left" vertical="center" shrinkToFit="1"/>
    </xf>
    <xf numFmtId="183" fontId="22" fillId="17" borderId="34" xfId="0" applyNumberFormat="1" applyFont="1" applyFill="1" applyBorder="1" applyAlignment="1">
      <alignment horizontal="right" vertical="center" wrapText="1"/>
    </xf>
    <xf numFmtId="183" fontId="22" fillId="17" borderId="57" xfId="0" applyNumberFormat="1" applyFont="1" applyFill="1" applyBorder="1" applyAlignment="1">
      <alignment horizontal="right" vertical="center" wrapText="1"/>
    </xf>
    <xf numFmtId="184" fontId="22" fillId="17" borderId="34" xfId="0" applyNumberFormat="1" applyFont="1" applyFill="1" applyBorder="1" applyAlignment="1">
      <alignment horizontal="right" vertical="center" wrapText="1"/>
    </xf>
    <xf numFmtId="184" fontId="22" fillId="17" borderId="57" xfId="0" applyNumberFormat="1" applyFont="1" applyFill="1" applyBorder="1" applyAlignment="1">
      <alignment horizontal="right" vertical="center" wrapText="1"/>
    </xf>
    <xf numFmtId="185" fontId="22" fillId="17" borderId="53" xfId="0" applyNumberFormat="1" applyFont="1" applyFill="1" applyBorder="1" applyAlignment="1">
      <alignment horizontal="right" vertical="center" wrapText="1"/>
    </xf>
    <xf numFmtId="0" fontId="46" fillId="17" borderId="37" xfId="0" applyFont="1" applyFill="1" applyBorder="1">
      <alignment vertical="center"/>
    </xf>
    <xf numFmtId="0" fontId="30" fillId="0" borderId="10" xfId="0" applyFont="1" applyBorder="1">
      <alignment vertical="center"/>
    </xf>
    <xf numFmtId="41" fontId="30" fillId="0" borderId="10" xfId="1" applyFont="1" applyFill="1" applyBorder="1">
      <alignment vertical="center"/>
    </xf>
    <xf numFmtId="0" fontId="9" fillId="0" borderId="10" xfId="0" applyFont="1" applyBorder="1" applyAlignment="1">
      <alignment horizontal="center" vertical="center"/>
    </xf>
    <xf numFmtId="41" fontId="0" fillId="0" borderId="10" xfId="1" applyFont="1" applyBorder="1">
      <alignment vertical="center"/>
    </xf>
    <xf numFmtId="0" fontId="0" fillId="0" borderId="55" xfId="0" applyBorder="1">
      <alignment vertical="center"/>
    </xf>
    <xf numFmtId="0" fontId="46" fillId="0" borderId="10" xfId="0" applyFont="1" applyBorder="1" applyAlignment="1">
      <alignment horizontal="center" vertical="center"/>
    </xf>
    <xf numFmtId="181" fontId="22" fillId="7" borderId="34" xfId="0" applyNumberFormat="1" applyFont="1" applyFill="1" applyBorder="1" applyAlignment="1">
      <alignment horizontal="right" vertical="center" wrapText="1"/>
    </xf>
    <xf numFmtId="9" fontId="22" fillId="7" borderId="53" xfId="2" applyFont="1" applyFill="1" applyBorder="1" applyAlignment="1">
      <alignment horizontal="right" vertical="center" wrapText="1"/>
    </xf>
    <xf numFmtId="0" fontId="49" fillId="0" borderId="0" xfId="4" applyFont="1"/>
    <xf numFmtId="0" fontId="50" fillId="18" borderId="10" xfId="3" applyFont="1" applyFill="1" applyBorder="1" applyAlignment="1">
      <alignment horizontal="center" vertical="center"/>
    </xf>
    <xf numFmtId="41" fontId="0" fillId="0" borderId="10" xfId="1" applyFont="1" applyFill="1" applyBorder="1">
      <alignment vertical="center"/>
    </xf>
    <xf numFmtId="0" fontId="9" fillId="18" borderId="10" xfId="0" applyFont="1" applyFill="1" applyBorder="1" applyAlignment="1">
      <alignment horizontal="center" vertical="center"/>
    </xf>
    <xf numFmtId="0" fontId="51" fillId="0" borderId="10" xfId="0" applyFont="1" applyBorder="1">
      <alignment vertical="center"/>
    </xf>
    <xf numFmtId="0" fontId="40" fillId="0" borderId="10" xfId="0" applyFont="1" applyBorder="1">
      <alignment vertical="center"/>
    </xf>
    <xf numFmtId="41" fontId="43" fillId="0" borderId="10" xfId="1" applyFont="1" applyFill="1" applyBorder="1" applyAlignment="1">
      <alignment horizontal="right" vertical="center" wrapText="1"/>
    </xf>
    <xf numFmtId="0" fontId="43" fillId="0" borderId="10" xfId="0" applyFont="1" applyBorder="1">
      <alignment vertical="center"/>
    </xf>
    <xf numFmtId="0" fontId="44" fillId="0" borderId="10" xfId="0" applyFont="1" applyBorder="1">
      <alignment vertical="center"/>
    </xf>
    <xf numFmtId="41" fontId="43" fillId="0" borderId="10" xfId="1" applyFont="1" applyFill="1" applyBorder="1">
      <alignment vertical="center"/>
    </xf>
    <xf numFmtId="187" fontId="9" fillId="0" borderId="10" xfId="1" applyNumberFormat="1" applyFont="1" applyFill="1" applyBorder="1" applyAlignment="1">
      <alignment horizontal="right" vertical="center" wrapText="1"/>
    </xf>
    <xf numFmtId="188" fontId="9" fillId="0" borderId="10" xfId="0" applyNumberFormat="1" applyFont="1" applyBorder="1" applyAlignment="1">
      <alignment vertical="center" shrinkToFit="1"/>
    </xf>
    <xf numFmtId="188" fontId="38" fillId="19" borderId="10" xfId="0" applyNumberFormat="1" applyFont="1" applyFill="1" applyBorder="1" applyAlignment="1">
      <alignment vertical="center" shrinkToFit="1"/>
    </xf>
    <xf numFmtId="186" fontId="9" fillId="0" borderId="10" xfId="0" applyNumberFormat="1" applyFont="1" applyBorder="1" applyAlignment="1">
      <alignment horizontal="right" vertical="center" wrapText="1"/>
    </xf>
    <xf numFmtId="0" fontId="9" fillId="0" borderId="10" xfId="0" applyFont="1" applyBorder="1">
      <alignment vertical="center"/>
    </xf>
    <xf numFmtId="186" fontId="43" fillId="0" borderId="10" xfId="0" applyNumberFormat="1" applyFont="1" applyBorder="1" applyAlignment="1">
      <alignment horizontal="right" vertical="center" wrapText="1"/>
    </xf>
    <xf numFmtId="0" fontId="0" fillId="15" borderId="10" xfId="0" applyFill="1" applyBorder="1" applyAlignment="1">
      <alignment horizontal="center" vertical="center"/>
    </xf>
    <xf numFmtId="0" fontId="31" fillId="15" borderId="10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35" fillId="0" borderId="51" xfId="3" applyBorder="1">
      <alignment vertical="center"/>
    </xf>
    <xf numFmtId="0" fontId="53" fillId="17" borderId="58" xfId="3" applyFont="1" applyFill="1" applyBorder="1" applyAlignment="1">
      <alignment horizontal="centerContinuous" vertical="center"/>
    </xf>
    <xf numFmtId="0" fontId="50" fillId="17" borderId="21" xfId="3" applyFont="1" applyFill="1" applyBorder="1" applyAlignment="1">
      <alignment horizontal="centerContinuous" vertical="center"/>
    </xf>
    <xf numFmtId="0" fontId="50" fillId="17" borderId="22" xfId="3" applyFont="1" applyFill="1" applyBorder="1" applyAlignment="1">
      <alignment horizontal="centerContinuous" vertical="center"/>
    </xf>
    <xf numFmtId="0" fontId="35" fillId="0" borderId="10" xfId="3" applyBorder="1">
      <alignment vertical="center"/>
    </xf>
    <xf numFmtId="0" fontId="35" fillId="15" borderId="54" xfId="3" applyFill="1" applyBorder="1">
      <alignment vertical="center"/>
    </xf>
    <xf numFmtId="0" fontId="35" fillId="15" borderId="10" xfId="3" applyFill="1" applyBorder="1">
      <alignment vertical="center"/>
    </xf>
    <xf numFmtId="0" fontId="35" fillId="16" borderId="54" xfId="3" applyFill="1" applyBorder="1">
      <alignment vertical="center"/>
    </xf>
    <xf numFmtId="0" fontId="35" fillId="16" borderId="10" xfId="3" applyFill="1" applyBorder="1">
      <alignment vertical="center"/>
    </xf>
    <xf numFmtId="0" fontId="35" fillId="9" borderId="54" xfId="3" applyFill="1" applyBorder="1">
      <alignment vertical="center"/>
    </xf>
    <xf numFmtId="0" fontId="35" fillId="9" borderId="10" xfId="3" applyFill="1" applyBorder="1">
      <alignment vertical="center"/>
    </xf>
    <xf numFmtId="0" fontId="35" fillId="20" borderId="54" xfId="3" applyFill="1" applyBorder="1">
      <alignment vertical="center"/>
    </xf>
    <xf numFmtId="0" fontId="35" fillId="20" borderId="10" xfId="3" applyFill="1" applyBorder="1">
      <alignment vertical="center"/>
    </xf>
    <xf numFmtId="0" fontId="35" fillId="21" borderId="54" xfId="3" applyFill="1" applyBorder="1">
      <alignment vertical="center"/>
    </xf>
    <xf numFmtId="0" fontId="35" fillId="21" borderId="10" xfId="3" applyFill="1" applyBorder="1">
      <alignment vertical="center"/>
    </xf>
    <xf numFmtId="0" fontId="54" fillId="16" borderId="10" xfId="3" applyFont="1" applyFill="1" applyBorder="1">
      <alignment vertical="center"/>
    </xf>
    <xf numFmtId="0" fontId="55" fillId="16" borderId="10" xfId="3" applyFont="1" applyFill="1" applyBorder="1">
      <alignment vertical="center"/>
    </xf>
    <xf numFmtId="0" fontId="54" fillId="9" borderId="10" xfId="3" applyFont="1" applyFill="1" applyBorder="1">
      <alignment vertical="center"/>
    </xf>
    <xf numFmtId="0" fontId="55" fillId="9" borderId="10" xfId="3" applyFont="1" applyFill="1" applyBorder="1">
      <alignment vertical="center"/>
    </xf>
    <xf numFmtId="0" fontId="54" fillId="20" borderId="10" xfId="3" applyFont="1" applyFill="1" applyBorder="1">
      <alignment vertical="center"/>
    </xf>
    <xf numFmtId="0" fontId="55" fillId="20" borderId="10" xfId="3" applyFont="1" applyFill="1" applyBorder="1">
      <alignment vertical="center"/>
    </xf>
    <xf numFmtId="0" fontId="35" fillId="0" borderId="62" xfId="3" applyBorder="1">
      <alignment vertical="center"/>
    </xf>
    <xf numFmtId="0" fontId="35" fillId="0" borderId="63" xfId="3" applyBorder="1">
      <alignment vertical="center"/>
    </xf>
    <xf numFmtId="0" fontId="35" fillId="0" borderId="64" xfId="3" applyBorder="1">
      <alignment vertical="center"/>
    </xf>
    <xf numFmtId="0" fontId="0" fillId="0" borderId="0" xfId="0" applyAlignment="1">
      <alignment horizontal="right" vertical="center"/>
    </xf>
    <xf numFmtId="0" fontId="22" fillId="8" borderId="10" xfId="0" applyFont="1" applyFill="1" applyBorder="1">
      <alignment vertical="center"/>
    </xf>
    <xf numFmtId="0" fontId="22" fillId="21" borderId="10" xfId="0" applyFont="1" applyFill="1" applyBorder="1" applyAlignment="1">
      <alignment horizontal="center" vertical="center"/>
    </xf>
    <xf numFmtId="0" fontId="22" fillId="21" borderId="10" xfId="0" applyFont="1" applyFill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/>
    </xf>
    <xf numFmtId="0" fontId="32" fillId="0" borderId="10" xfId="0" applyFont="1" applyBorder="1">
      <alignment vertical="center"/>
    </xf>
    <xf numFmtId="0" fontId="0" fillId="8" borderId="0" xfId="0" applyFill="1">
      <alignment vertical="center"/>
    </xf>
    <xf numFmtId="0" fontId="61" fillId="0" borderId="0" xfId="0" applyFont="1">
      <alignment vertical="center"/>
    </xf>
    <xf numFmtId="0" fontId="62" fillId="0" borderId="0" xfId="0" applyFont="1">
      <alignment vertical="center"/>
    </xf>
    <xf numFmtId="0" fontId="63" fillId="0" borderId="0" xfId="0" applyFont="1">
      <alignment vertical="center"/>
    </xf>
    <xf numFmtId="0" fontId="64" fillId="0" borderId="0" xfId="0" applyFo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66" fillId="3" borderId="10" xfId="0" applyFont="1" applyFill="1" applyBorder="1" applyAlignment="1">
      <alignment horizontal="center" vertical="center" wrapText="1"/>
    </xf>
    <xf numFmtId="0" fontId="65" fillId="3" borderId="10" xfId="0" applyFont="1" applyFill="1" applyBorder="1" applyAlignment="1">
      <alignment horizontal="center" vertical="center" wrapText="1"/>
    </xf>
    <xf numFmtId="0" fontId="0" fillId="0" borderId="75" xfId="0" applyBorder="1">
      <alignment vertical="center"/>
    </xf>
    <xf numFmtId="0" fontId="22" fillId="4" borderId="39" xfId="0" applyFont="1" applyFill="1" applyBorder="1" applyAlignment="1">
      <alignment horizontal="center" vertical="center"/>
    </xf>
    <xf numFmtId="180" fontId="7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9" xfId="0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3" fillId="6" borderId="1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 wrapText="1"/>
    </xf>
    <xf numFmtId="186" fontId="46" fillId="7" borderId="52" xfId="0" applyNumberFormat="1" applyFont="1" applyFill="1" applyBorder="1" applyAlignment="1">
      <alignment horizontal="right" vertical="center" wrapText="1"/>
    </xf>
    <xf numFmtId="186" fontId="46" fillId="7" borderId="10" xfId="0" applyNumberFormat="1" applyFont="1" applyFill="1" applyBorder="1" applyAlignment="1">
      <alignment horizontal="right" vertical="center" wrapText="1"/>
    </xf>
    <xf numFmtId="182" fontId="46" fillId="7" borderId="10" xfId="0" applyNumberFormat="1" applyFont="1" applyFill="1" applyBorder="1" applyAlignment="1">
      <alignment horizontal="right" vertical="center" wrapText="1"/>
    </xf>
    <xf numFmtId="186" fontId="31" fillId="7" borderId="65" xfId="0" applyNumberFormat="1" applyFont="1" applyFill="1" applyBorder="1" applyAlignment="1">
      <alignment horizontal="right" vertical="center" wrapText="1"/>
    </xf>
    <xf numFmtId="186" fontId="31" fillId="7" borderId="66" xfId="0" applyNumberFormat="1" applyFont="1" applyFill="1" applyBorder="1" applyAlignment="1">
      <alignment horizontal="right" vertical="center" wrapText="1"/>
    </xf>
    <xf numFmtId="186" fontId="31" fillId="7" borderId="10" xfId="0" applyNumberFormat="1" applyFont="1" applyFill="1" applyBorder="1" applyAlignment="1">
      <alignment horizontal="right" vertical="center" wrapText="1"/>
    </xf>
    <xf numFmtId="0" fontId="22" fillId="8" borderId="17" xfId="0" applyFont="1" applyFill="1" applyBorder="1" applyAlignment="1">
      <alignment horizontal="center" vertical="center"/>
    </xf>
    <xf numFmtId="0" fontId="65" fillId="3" borderId="18" xfId="0" applyFont="1" applyFill="1" applyBorder="1" applyAlignment="1">
      <alignment horizontal="center" vertical="center" wrapText="1"/>
    </xf>
    <xf numFmtId="0" fontId="65" fillId="3" borderId="74" xfId="0" applyFont="1" applyFill="1" applyBorder="1" applyAlignment="1">
      <alignment horizontal="center" vertical="center" wrapText="1"/>
    </xf>
    <xf numFmtId="0" fontId="2" fillId="4" borderId="10" xfId="0" applyFont="1" applyFill="1" applyBorder="1">
      <alignment vertical="center"/>
    </xf>
    <xf numFmtId="0" fontId="4" fillId="7" borderId="73" xfId="0" applyFont="1" applyFill="1" applyBorder="1" applyAlignment="1">
      <alignment horizontal="center" vertical="center" wrapText="1"/>
    </xf>
    <xf numFmtId="0" fontId="46" fillId="7" borderId="34" xfId="0" applyFont="1" applyFill="1" applyBorder="1">
      <alignment vertical="center"/>
    </xf>
    <xf numFmtId="181" fontId="46" fillId="7" borderId="52" xfId="0" applyNumberFormat="1" applyFont="1" applyFill="1" applyBorder="1" applyAlignment="1">
      <alignment horizontal="right" vertical="center" wrapText="1"/>
    </xf>
    <xf numFmtId="181" fontId="46" fillId="7" borderId="10" xfId="0" applyNumberFormat="1" applyFont="1" applyFill="1" applyBorder="1" applyAlignment="1">
      <alignment horizontal="right" vertical="center" wrapText="1"/>
    </xf>
    <xf numFmtId="186" fontId="31" fillId="7" borderId="87" xfId="0" applyNumberFormat="1" applyFont="1" applyFill="1" applyBorder="1" applyAlignment="1">
      <alignment horizontal="right" vertical="center" wrapText="1"/>
    </xf>
    <xf numFmtId="186" fontId="31" fillId="7" borderId="11" xfId="0" applyNumberFormat="1" applyFont="1" applyFill="1" applyBorder="1" applyAlignment="1">
      <alignment horizontal="right" vertical="center" wrapText="1"/>
    </xf>
    <xf numFmtId="182" fontId="47" fillId="7" borderId="37" xfId="0" applyNumberFormat="1" applyFont="1" applyFill="1" applyBorder="1" applyAlignment="1">
      <alignment horizontal="center" vertical="center" wrapText="1"/>
    </xf>
    <xf numFmtId="182" fontId="22" fillId="7" borderId="34" xfId="0" applyNumberFormat="1" applyFont="1" applyFill="1" applyBorder="1" applyAlignment="1">
      <alignment horizontal="right" vertical="center" wrapText="1"/>
    </xf>
    <xf numFmtId="185" fontId="22" fillId="7" borderId="53" xfId="0" applyNumberFormat="1" applyFont="1" applyFill="1" applyBorder="1" applyAlignment="1">
      <alignment horizontal="right" vertical="center" wrapText="1"/>
    </xf>
    <xf numFmtId="185" fontId="22" fillId="7" borderId="10" xfId="0" applyNumberFormat="1" applyFont="1" applyFill="1" applyBorder="1" applyAlignment="1">
      <alignment horizontal="right" vertical="center" wrapText="1"/>
    </xf>
    <xf numFmtId="0" fontId="71" fillId="3" borderId="3" xfId="0" applyFont="1" applyFill="1" applyBorder="1" applyAlignment="1">
      <alignment horizontal="center" vertical="center" wrapText="1"/>
    </xf>
    <xf numFmtId="0" fontId="22" fillId="22" borderId="13" xfId="0" applyFont="1" applyFill="1" applyBorder="1" applyAlignment="1">
      <alignment horizontal="centerContinuous" vertical="center"/>
    </xf>
    <xf numFmtId="0" fontId="0" fillId="22" borderId="13" xfId="0" applyFill="1" applyBorder="1" applyAlignment="1">
      <alignment horizontal="centerContinuous" vertical="center"/>
    </xf>
    <xf numFmtId="0" fontId="22" fillId="13" borderId="13" xfId="0" applyFont="1" applyFill="1" applyBorder="1" applyAlignment="1">
      <alignment horizontal="centerContinuous" vertical="center"/>
    </xf>
    <xf numFmtId="0" fontId="60" fillId="13" borderId="13" xfId="0" applyFont="1" applyFill="1" applyBorder="1" applyAlignment="1">
      <alignment horizontal="centerContinuous" vertical="center"/>
    </xf>
    <xf numFmtId="0" fontId="60" fillId="13" borderId="26" xfId="0" applyFont="1" applyFill="1" applyBorder="1" applyAlignment="1">
      <alignment horizontal="centerContinuous" vertical="center"/>
    </xf>
    <xf numFmtId="0" fontId="0" fillId="13" borderId="88" xfId="0" applyFill="1" applyBorder="1" applyAlignment="1">
      <alignment horizontal="centerContinuous" vertical="center"/>
    </xf>
    <xf numFmtId="0" fontId="22" fillId="13" borderId="16" xfId="0" applyFont="1" applyFill="1" applyBorder="1" applyAlignment="1">
      <alignment horizontal="center" vertical="center" wrapText="1"/>
    </xf>
    <xf numFmtId="186" fontId="31" fillId="7" borderId="40" xfId="0" applyNumberFormat="1" applyFont="1" applyFill="1" applyBorder="1" applyAlignment="1">
      <alignment horizontal="right" vertical="center" wrapText="1"/>
    </xf>
    <xf numFmtId="186" fontId="31" fillId="7" borderId="16" xfId="0" applyNumberFormat="1" applyFont="1" applyFill="1" applyBorder="1" applyAlignment="1">
      <alignment horizontal="right" vertical="center" wrapText="1"/>
    </xf>
    <xf numFmtId="186" fontId="31" fillId="7" borderId="18" xfId="0" applyNumberFormat="1" applyFont="1" applyFill="1" applyBorder="1" applyAlignment="1">
      <alignment horizontal="right" vertical="center" wrapText="1"/>
    </xf>
    <xf numFmtId="186" fontId="31" fillId="7" borderId="19" xfId="0" applyNumberFormat="1" applyFont="1" applyFill="1" applyBorder="1" applyAlignment="1">
      <alignment horizontal="right" vertical="center" wrapText="1"/>
    </xf>
    <xf numFmtId="0" fontId="2" fillId="4" borderId="18" xfId="0" applyFont="1" applyFill="1" applyBorder="1">
      <alignment vertical="center"/>
    </xf>
    <xf numFmtId="0" fontId="12" fillId="7" borderId="16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46" fillId="4" borderId="10" xfId="0" applyFont="1" applyFill="1" applyBorder="1">
      <alignment vertical="center"/>
    </xf>
    <xf numFmtId="186" fontId="46" fillId="4" borderId="10" xfId="0" applyNumberFormat="1" applyFont="1" applyFill="1" applyBorder="1" applyAlignment="1">
      <alignment horizontal="right" vertical="center" wrapText="1"/>
    </xf>
    <xf numFmtId="181" fontId="22" fillId="4" borderId="34" xfId="0" applyNumberFormat="1" applyFont="1" applyFill="1" applyBorder="1" applyAlignment="1">
      <alignment horizontal="right" vertical="center" wrapText="1"/>
    </xf>
    <xf numFmtId="0" fontId="46" fillId="4" borderId="37" xfId="0" applyFont="1" applyFill="1" applyBorder="1">
      <alignment vertical="center"/>
    </xf>
    <xf numFmtId="0" fontId="46" fillId="4" borderId="10" xfId="0" applyFont="1" applyFill="1" applyBorder="1" applyAlignment="1">
      <alignment horizontal="center" vertical="center"/>
    </xf>
    <xf numFmtId="189" fontId="46" fillId="4" borderId="10" xfId="0" applyNumberFormat="1" applyFont="1" applyFill="1" applyBorder="1">
      <alignment vertical="center"/>
    </xf>
    <xf numFmtId="186" fontId="31" fillId="4" borderId="11" xfId="0" applyNumberFormat="1" applyFont="1" applyFill="1" applyBorder="1" applyAlignment="1">
      <alignment horizontal="right" vertical="center" wrapText="1"/>
    </xf>
    <xf numFmtId="0" fontId="31" fillId="4" borderId="37" xfId="0" applyFont="1" applyFill="1" applyBorder="1">
      <alignment vertical="center"/>
    </xf>
    <xf numFmtId="186" fontId="31" fillId="4" borderId="10" xfId="0" applyNumberFormat="1" applyFont="1" applyFill="1" applyBorder="1" applyAlignment="1">
      <alignment horizontal="right" vertical="center" wrapText="1"/>
    </xf>
    <xf numFmtId="0" fontId="31" fillId="4" borderId="38" xfId="0" applyFont="1" applyFill="1" applyBorder="1">
      <alignment vertical="center"/>
    </xf>
    <xf numFmtId="186" fontId="31" fillId="4" borderId="18" xfId="0" applyNumberFormat="1" applyFont="1" applyFill="1" applyBorder="1" applyAlignment="1">
      <alignment horizontal="right" vertical="center" wrapText="1"/>
    </xf>
    <xf numFmtId="0" fontId="46" fillId="4" borderId="15" xfId="0" applyFont="1" applyFill="1" applyBorder="1" applyAlignment="1">
      <alignment horizontal="center" vertical="center"/>
    </xf>
    <xf numFmtId="0" fontId="46" fillId="4" borderId="17" xfId="0" applyFont="1" applyFill="1" applyBorder="1" applyAlignment="1">
      <alignment horizontal="center" vertical="center"/>
    </xf>
    <xf numFmtId="0" fontId="2" fillId="24" borderId="11" xfId="0" applyFont="1" applyFill="1" applyBorder="1">
      <alignment vertical="center"/>
    </xf>
    <xf numFmtId="0" fontId="2" fillId="24" borderId="10" xfId="0" applyFont="1" applyFill="1" applyBorder="1">
      <alignment vertical="center"/>
    </xf>
    <xf numFmtId="0" fontId="2" fillId="24" borderId="18" xfId="0" applyFont="1" applyFill="1" applyBorder="1">
      <alignment vertical="center"/>
    </xf>
    <xf numFmtId="0" fontId="0" fillId="19" borderId="10" xfId="0" applyFill="1" applyBorder="1">
      <alignment vertical="center"/>
    </xf>
    <xf numFmtId="0" fontId="0" fillId="19" borderId="55" xfId="0" applyFill="1" applyBorder="1">
      <alignment vertical="center"/>
    </xf>
    <xf numFmtId="0" fontId="47" fillId="7" borderId="37" xfId="0" applyFont="1" applyFill="1" applyBorder="1">
      <alignment vertical="center"/>
    </xf>
    <xf numFmtId="182" fontId="22" fillId="16" borderId="10" xfId="0" applyNumberFormat="1" applyFont="1" applyFill="1" applyBorder="1" applyAlignment="1">
      <alignment horizontal="right" vertical="center" wrapText="1"/>
    </xf>
    <xf numFmtId="182" fontId="47" fillId="16" borderId="10" xfId="0" applyNumberFormat="1" applyFont="1" applyFill="1" applyBorder="1" applyAlignment="1">
      <alignment horizontal="left" vertical="center" shrinkToFit="1"/>
    </xf>
    <xf numFmtId="183" fontId="22" fillId="16" borderId="10" xfId="0" applyNumberFormat="1" applyFont="1" applyFill="1" applyBorder="1" applyAlignment="1">
      <alignment horizontal="right" vertical="center" wrapText="1"/>
    </xf>
    <xf numFmtId="0" fontId="47" fillId="16" borderId="10" xfId="0" applyFont="1" applyFill="1" applyBorder="1">
      <alignment vertical="center"/>
    </xf>
    <xf numFmtId="184" fontId="22" fillId="16" borderId="10" xfId="0" applyNumberFormat="1" applyFont="1" applyFill="1" applyBorder="1" applyAlignment="1">
      <alignment horizontal="right" vertical="center" wrapText="1"/>
    </xf>
    <xf numFmtId="186" fontId="31" fillId="4" borderId="74" xfId="0" applyNumberFormat="1" applyFont="1" applyFill="1" applyBorder="1" applyAlignment="1">
      <alignment horizontal="right" vertical="center" wrapText="1"/>
    </xf>
    <xf numFmtId="186" fontId="39" fillId="7" borderId="15" xfId="0" applyNumberFormat="1" applyFont="1" applyFill="1" applyBorder="1" applyAlignment="1">
      <alignment horizontal="center" vertical="center"/>
    </xf>
    <xf numFmtId="186" fontId="39" fillId="7" borderId="10" xfId="0" applyNumberFormat="1" applyFont="1" applyFill="1" applyBorder="1" applyAlignment="1">
      <alignment horizontal="center" vertical="center" wrapText="1"/>
    </xf>
    <xf numFmtId="186" fontId="39" fillId="7" borderId="16" xfId="0" applyNumberFormat="1" applyFont="1" applyFill="1" applyBorder="1" applyAlignment="1">
      <alignment horizontal="center" vertical="center" wrapText="1"/>
    </xf>
    <xf numFmtId="186" fontId="0" fillId="0" borderId="0" xfId="0" applyNumberFormat="1" applyAlignment="1">
      <alignment horizontal="right" vertical="center" wrapText="1"/>
    </xf>
    <xf numFmtId="186" fontId="29" fillId="7" borderId="33" xfId="0" applyNumberFormat="1" applyFont="1" applyFill="1" applyBorder="1" applyAlignment="1">
      <alignment horizontal="right" vertical="center" shrinkToFit="1"/>
    </xf>
    <xf numFmtId="186" fontId="29" fillId="7" borderId="72" xfId="0" applyNumberFormat="1" applyFont="1" applyFill="1" applyBorder="1" applyAlignment="1">
      <alignment horizontal="right" vertical="center" shrinkToFit="1"/>
    </xf>
    <xf numFmtId="186" fontId="29" fillId="0" borderId="24" xfId="0" applyNumberFormat="1" applyFont="1" applyBorder="1" applyAlignment="1">
      <alignment horizontal="right" vertical="center" shrinkToFit="1"/>
    </xf>
    <xf numFmtId="186" fontId="29" fillId="7" borderId="24" xfId="0" applyNumberFormat="1" applyFont="1" applyFill="1" applyBorder="1" applyAlignment="1">
      <alignment horizontal="right" vertical="center" shrinkToFit="1"/>
    </xf>
    <xf numFmtId="186" fontId="29" fillId="7" borderId="45" xfId="0" applyNumberFormat="1" applyFont="1" applyFill="1" applyBorder="1" applyAlignment="1">
      <alignment horizontal="right" vertical="center" shrinkToFit="1"/>
    </xf>
    <xf numFmtId="186" fontId="29" fillId="0" borderId="3" xfId="0" applyNumberFormat="1" applyFont="1" applyBorder="1" applyAlignment="1">
      <alignment horizontal="right" vertical="center" shrinkToFit="1"/>
    </xf>
    <xf numFmtId="186" fontId="29" fillId="7" borderId="3" xfId="0" applyNumberFormat="1" applyFont="1" applyFill="1" applyBorder="1" applyAlignment="1">
      <alignment horizontal="right" vertical="center" shrinkToFit="1"/>
    </xf>
    <xf numFmtId="186" fontId="29" fillId="7" borderId="46" xfId="0" applyNumberFormat="1" applyFont="1" applyFill="1" applyBorder="1" applyAlignment="1">
      <alignment horizontal="right" vertical="center" shrinkToFit="1"/>
    </xf>
    <xf numFmtId="0" fontId="9" fillId="8" borderId="15" xfId="0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180" fontId="30" fillId="7" borderId="17" xfId="1" applyNumberFormat="1" applyFont="1" applyFill="1" applyBorder="1" applyAlignment="1">
      <alignment horizontal="right" vertical="center" wrapText="1"/>
    </xf>
    <xf numFmtId="180" fontId="30" fillId="7" borderId="18" xfId="1" applyNumberFormat="1" applyFont="1" applyFill="1" applyBorder="1" applyAlignment="1">
      <alignment horizontal="right" vertical="center" wrapText="1"/>
    </xf>
    <xf numFmtId="180" fontId="9" fillId="7" borderId="19" xfId="1" applyNumberFormat="1" applyFont="1" applyFill="1" applyBorder="1" applyAlignment="1">
      <alignment horizontal="right" vertical="center" wrapText="1"/>
    </xf>
    <xf numFmtId="0" fontId="2" fillId="11" borderId="103" xfId="0" applyFont="1" applyFill="1" applyBorder="1">
      <alignment vertical="center"/>
    </xf>
    <xf numFmtId="0" fontId="2" fillId="11" borderId="104" xfId="0" applyFont="1" applyFill="1" applyBorder="1">
      <alignment vertical="center"/>
    </xf>
    <xf numFmtId="0" fontId="2" fillId="11" borderId="105" xfId="0" applyFont="1" applyFill="1" applyBorder="1">
      <alignment vertical="center"/>
    </xf>
    <xf numFmtId="0" fontId="39" fillId="11" borderId="104" xfId="0" applyFont="1" applyFill="1" applyBorder="1" applyAlignment="1">
      <alignment horizontal="center" vertical="center" wrapText="1"/>
    </xf>
    <xf numFmtId="182" fontId="22" fillId="17" borderId="10" xfId="0" applyNumberFormat="1" applyFont="1" applyFill="1" applyBorder="1" applyAlignment="1">
      <alignment horizontal="right" vertical="center" wrapText="1"/>
    </xf>
    <xf numFmtId="9" fontId="22" fillId="17" borderId="106" xfId="2" applyFont="1" applyFill="1" applyBorder="1" applyAlignment="1">
      <alignment horizontal="right" vertical="center" wrapText="1"/>
    </xf>
    <xf numFmtId="0" fontId="22" fillId="8" borderId="107" xfId="0" applyFont="1" applyFill="1" applyBorder="1" applyAlignment="1">
      <alignment horizontal="center" vertical="center" wrapText="1"/>
    </xf>
    <xf numFmtId="181" fontId="22" fillId="7" borderId="35" xfId="0" applyNumberFormat="1" applyFont="1" applyFill="1" applyBorder="1" applyAlignment="1">
      <alignment horizontal="right" vertical="center" wrapText="1"/>
    </xf>
    <xf numFmtId="181" fontId="9" fillId="17" borderId="108" xfId="0" applyNumberFormat="1" applyFont="1" applyFill="1" applyBorder="1" applyAlignment="1">
      <alignment horizontal="right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46" fillId="4" borderId="56" xfId="0" applyFont="1" applyFill="1" applyBorder="1">
      <alignment vertical="center"/>
    </xf>
    <xf numFmtId="9" fontId="32" fillId="0" borderId="10" xfId="2" applyFont="1" applyBorder="1" applyAlignment="1">
      <alignment horizontal="center" vertical="center"/>
    </xf>
    <xf numFmtId="186" fontId="29" fillId="7" borderId="41" xfId="0" applyNumberFormat="1" applyFont="1" applyFill="1" applyBorder="1" applyAlignment="1">
      <alignment horizontal="right" vertical="center" shrinkToFit="1"/>
    </xf>
    <xf numFmtId="186" fontId="29" fillId="7" borderId="70" xfId="0" applyNumberFormat="1" applyFont="1" applyFill="1" applyBorder="1" applyAlignment="1">
      <alignment horizontal="right" vertical="center" shrinkToFit="1"/>
    </xf>
    <xf numFmtId="186" fontId="29" fillId="7" borderId="116" xfId="0" applyNumberFormat="1" applyFont="1" applyFill="1" applyBorder="1" applyAlignment="1">
      <alignment horizontal="right" vertical="center" shrinkToFit="1"/>
    </xf>
    <xf numFmtId="186" fontId="29" fillId="7" borderId="117" xfId="0" applyNumberFormat="1" applyFont="1" applyFill="1" applyBorder="1" applyAlignment="1">
      <alignment horizontal="right" vertical="center" shrinkToFit="1"/>
    </xf>
    <xf numFmtId="0" fontId="83" fillId="3" borderId="18" xfId="0" applyFont="1" applyFill="1" applyBorder="1" applyAlignment="1">
      <alignment horizontal="center" vertical="center" wrapText="1"/>
    </xf>
    <xf numFmtId="0" fontId="84" fillId="3" borderId="18" xfId="0" applyFont="1" applyFill="1" applyBorder="1" applyAlignment="1">
      <alignment horizontal="center" vertical="center" wrapText="1"/>
    </xf>
    <xf numFmtId="0" fontId="83" fillId="3" borderId="19" xfId="0" applyFont="1" applyFill="1" applyBorder="1" applyAlignment="1">
      <alignment horizontal="center" vertical="center" wrapText="1"/>
    </xf>
    <xf numFmtId="186" fontId="72" fillId="7" borderId="81" xfId="0" applyNumberFormat="1" applyFont="1" applyFill="1" applyBorder="1" applyAlignment="1">
      <alignment horizontal="right" vertical="center" shrinkToFit="1"/>
    </xf>
    <xf numFmtId="186" fontId="72" fillId="7" borderId="82" xfId="0" applyNumberFormat="1" applyFont="1" applyFill="1" applyBorder="1" applyAlignment="1">
      <alignment horizontal="right" vertical="center" shrinkToFit="1"/>
    </xf>
    <xf numFmtId="186" fontId="77" fillId="7" borderId="11" xfId="0" applyNumberFormat="1" applyFont="1" applyFill="1" applyBorder="1" applyAlignment="1">
      <alignment horizontal="right" vertical="center" shrinkToFit="1"/>
    </xf>
    <xf numFmtId="186" fontId="77" fillId="7" borderId="40" xfId="0" applyNumberFormat="1" applyFont="1" applyFill="1" applyBorder="1" applyAlignment="1">
      <alignment horizontal="right" vertical="center" shrinkToFit="1"/>
    </xf>
    <xf numFmtId="186" fontId="77" fillId="7" borderId="10" xfId="0" applyNumberFormat="1" applyFont="1" applyFill="1" applyBorder="1" applyAlignment="1">
      <alignment horizontal="right" vertical="center" shrinkToFit="1"/>
    </xf>
    <xf numFmtId="186" fontId="77" fillId="7" borderId="16" xfId="0" applyNumberFormat="1" applyFont="1" applyFill="1" applyBorder="1" applyAlignment="1">
      <alignment horizontal="right" vertical="center" shrinkToFit="1"/>
    </xf>
    <xf numFmtId="186" fontId="77" fillId="7" borderId="18" xfId="0" applyNumberFormat="1" applyFont="1" applyFill="1" applyBorder="1" applyAlignment="1">
      <alignment horizontal="right" vertical="center" shrinkToFit="1"/>
    </xf>
    <xf numFmtId="186" fontId="77" fillId="7" borderId="19" xfId="0" applyNumberFormat="1" applyFont="1" applyFill="1" applyBorder="1" applyAlignment="1">
      <alignment horizontal="right" vertical="center" shrinkToFit="1"/>
    </xf>
    <xf numFmtId="186" fontId="77" fillId="4" borderId="10" xfId="0" applyNumberFormat="1" applyFont="1" applyFill="1" applyBorder="1" applyAlignment="1">
      <alignment horizontal="right" vertical="center" shrinkToFit="1"/>
    </xf>
    <xf numFmtId="186" fontId="77" fillId="4" borderId="18" xfId="0" applyNumberFormat="1" applyFont="1" applyFill="1" applyBorder="1" applyAlignment="1">
      <alignment horizontal="right" vertical="center" shrinkToFit="1"/>
    </xf>
    <xf numFmtId="186" fontId="77" fillId="7" borderId="74" xfId="0" applyNumberFormat="1" applyFont="1" applyFill="1" applyBorder="1" applyAlignment="1">
      <alignment horizontal="right" vertical="center" shrinkToFit="1"/>
    </xf>
    <xf numFmtId="0" fontId="0" fillId="4" borderId="107" xfId="0" applyFill="1" applyBorder="1">
      <alignment vertical="center"/>
    </xf>
    <xf numFmtId="0" fontId="0" fillId="4" borderId="35" xfId="0" applyFill="1" applyBorder="1">
      <alignment vertical="center"/>
    </xf>
    <xf numFmtId="0" fontId="8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80" fontId="77" fillId="7" borderId="107" xfId="0" applyNumberFormat="1" applyFont="1" applyFill="1" applyBorder="1" applyAlignment="1">
      <alignment vertical="center" shrinkToFit="1"/>
    </xf>
    <xf numFmtId="180" fontId="77" fillId="7" borderId="35" xfId="0" applyNumberFormat="1" applyFont="1" applyFill="1" applyBorder="1" applyAlignment="1">
      <alignment vertical="center" shrinkToFit="1"/>
    </xf>
    <xf numFmtId="0" fontId="87" fillId="0" borderId="0" xfId="0" applyFont="1" applyAlignment="1">
      <alignment horizontal="left" vertical="center"/>
    </xf>
    <xf numFmtId="0" fontId="90" fillId="0" borderId="0" xfId="0" applyFont="1" applyAlignment="1">
      <alignment horizontal="left" vertical="center"/>
    </xf>
    <xf numFmtId="0" fontId="89" fillId="0" borderId="0" xfId="0" applyFont="1" applyAlignment="1">
      <alignment horizontal="left" vertical="center"/>
    </xf>
    <xf numFmtId="0" fontId="90" fillId="0" borderId="0" xfId="0" applyFont="1">
      <alignment vertical="center"/>
    </xf>
    <xf numFmtId="0" fontId="81" fillId="0" borderId="118" xfId="0" applyFont="1" applyBorder="1">
      <alignment vertical="center"/>
    </xf>
    <xf numFmtId="0" fontId="81" fillId="0" borderId="0" xfId="0" applyFont="1">
      <alignment vertical="center"/>
    </xf>
    <xf numFmtId="180" fontId="77" fillId="25" borderId="107" xfId="0" applyNumberFormat="1" applyFont="1" applyFill="1" applyBorder="1" applyAlignment="1">
      <alignment vertical="center" shrinkToFit="1"/>
    </xf>
    <xf numFmtId="180" fontId="77" fillId="25" borderId="35" xfId="0" applyNumberFormat="1" applyFont="1" applyFill="1" applyBorder="1" applyAlignment="1">
      <alignment vertical="center" shrinkToFit="1"/>
    </xf>
    <xf numFmtId="186" fontId="31" fillId="7" borderId="11" xfId="0" applyNumberFormat="1" applyFont="1" applyFill="1" applyBorder="1" applyAlignment="1">
      <alignment horizontal="left" vertical="center" wrapText="1"/>
    </xf>
    <xf numFmtId="186" fontId="31" fillId="7" borderId="10" xfId="0" applyNumberFormat="1" applyFont="1" applyFill="1" applyBorder="1" applyAlignment="1">
      <alignment horizontal="left" vertical="center" wrapText="1"/>
    </xf>
    <xf numFmtId="186" fontId="31" fillId="7" borderId="18" xfId="0" applyNumberFormat="1" applyFont="1" applyFill="1" applyBorder="1" applyAlignment="1">
      <alignment horizontal="left" vertical="center" wrapText="1"/>
    </xf>
    <xf numFmtId="0" fontId="73" fillId="0" borderId="0" xfId="0" applyFont="1">
      <alignment vertical="center"/>
    </xf>
    <xf numFmtId="186" fontId="9" fillId="7" borderId="20" xfId="0" applyNumberFormat="1" applyFont="1" applyFill="1" applyBorder="1" applyAlignment="1">
      <alignment horizontal="right" vertical="center" wrapText="1"/>
    </xf>
    <xf numFmtId="0" fontId="9" fillId="0" borderId="22" xfId="0" applyFont="1" applyBorder="1">
      <alignment vertical="center"/>
    </xf>
    <xf numFmtId="0" fontId="10" fillId="26" borderId="1" xfId="0" applyFont="1" applyFill="1" applyBorder="1" applyAlignment="1">
      <alignment horizontal="center" vertical="center" wrapText="1"/>
    </xf>
    <xf numFmtId="0" fontId="0" fillId="26" borderId="0" xfId="0" applyFill="1">
      <alignment vertical="center"/>
    </xf>
    <xf numFmtId="0" fontId="11" fillId="26" borderId="23" xfId="0" applyFont="1" applyFill="1" applyBorder="1" applyAlignment="1">
      <alignment horizontal="center" vertical="center" wrapText="1"/>
    </xf>
    <xf numFmtId="0" fontId="76" fillId="26" borderId="0" xfId="0" applyFont="1" applyFill="1">
      <alignment vertical="center"/>
    </xf>
    <xf numFmtId="0" fontId="8" fillId="26" borderId="0" xfId="0" applyFont="1" applyFill="1" applyAlignment="1">
      <alignment horizontal="left" vertical="center"/>
    </xf>
    <xf numFmtId="0" fontId="12" fillId="26" borderId="0" xfId="0" applyFont="1" applyFill="1" applyAlignment="1">
      <alignment horizontal="left" vertical="center"/>
    </xf>
    <xf numFmtId="0" fontId="15" fillId="26" borderId="0" xfId="0" applyFont="1" applyFill="1" applyAlignment="1">
      <alignment horizontal="left" vertical="center"/>
    </xf>
    <xf numFmtId="0" fontId="7" fillId="26" borderId="0" xfId="0" applyFont="1" applyFill="1" applyAlignment="1">
      <alignment horizontal="left" vertical="center"/>
    </xf>
    <xf numFmtId="0" fontId="22" fillId="26" borderId="0" xfId="0" applyFont="1" applyFill="1" applyAlignment="1">
      <alignment horizontal="justify" vertical="center"/>
    </xf>
    <xf numFmtId="0" fontId="28" fillId="26" borderId="0" xfId="0" applyFont="1" applyFill="1" applyAlignment="1">
      <alignment horizontal="right" vertical="center" indent="1"/>
    </xf>
    <xf numFmtId="0" fontId="17" fillId="26" borderId="0" xfId="0" applyFont="1" applyFill="1" applyAlignment="1">
      <alignment horizontal="left" vertical="center"/>
    </xf>
    <xf numFmtId="0" fontId="9" fillId="26" borderId="0" xfId="0" applyFont="1" applyFill="1">
      <alignment vertical="center"/>
    </xf>
    <xf numFmtId="0" fontId="20" fillId="26" borderId="0" xfId="0" applyFont="1" applyFill="1" applyAlignment="1">
      <alignment horizontal="left" vertical="center"/>
    </xf>
    <xf numFmtId="0" fontId="8" fillId="7" borderId="15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96" fillId="0" borderId="10" xfId="0" applyFont="1" applyBorder="1" applyAlignment="1">
      <alignment vertical="center" wrapText="1"/>
    </xf>
    <xf numFmtId="0" fontId="96" fillId="0" borderId="10" xfId="0" applyFont="1" applyBorder="1" applyAlignment="1">
      <alignment horizontal="justify" vertical="center" wrapText="1"/>
    </xf>
    <xf numFmtId="180" fontId="7" fillId="0" borderId="7" xfId="0" applyNumberFormat="1" applyFont="1" applyBorder="1" applyAlignment="1">
      <alignment horizontal="right" vertical="center" wrapText="1"/>
    </xf>
    <xf numFmtId="0" fontId="15" fillId="26" borderId="0" xfId="0" applyFont="1" applyFill="1" applyAlignment="1">
      <alignment horizontal="center" vertical="center" wrapText="1"/>
    </xf>
    <xf numFmtId="0" fontId="94" fillId="26" borderId="0" xfId="0" applyFont="1" applyFill="1" applyAlignment="1">
      <alignment horizontal="justify" vertical="center" wrapText="1"/>
    </xf>
    <xf numFmtId="0" fontId="14" fillId="26" borderId="0" xfId="0" applyFont="1" applyFill="1" applyAlignment="1">
      <alignment horizontal="center" vertical="center" wrapText="1"/>
    </xf>
    <xf numFmtId="0" fontId="80" fillId="26" borderId="0" xfId="0" applyFont="1" applyFill="1">
      <alignment vertical="center"/>
    </xf>
    <xf numFmtId="0" fontId="80" fillId="0" borderId="0" xfId="0" applyFont="1">
      <alignment vertical="center"/>
    </xf>
    <xf numFmtId="186" fontId="29" fillId="0" borderId="128" xfId="0" applyNumberFormat="1" applyFont="1" applyBorder="1" applyAlignment="1">
      <alignment horizontal="right" vertical="center" shrinkToFit="1"/>
    </xf>
    <xf numFmtId="0" fontId="26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190" fontId="94" fillId="0" borderId="10" xfId="2" applyNumberFormat="1" applyFont="1" applyFill="1" applyBorder="1" applyAlignment="1">
      <alignment vertical="center" wrapText="1"/>
    </xf>
    <xf numFmtId="190" fontId="94" fillId="0" borderId="16" xfId="2" applyNumberFormat="1" applyFont="1" applyFill="1" applyBorder="1" applyAlignment="1">
      <alignment vertical="center" wrapText="1"/>
    </xf>
    <xf numFmtId="179" fontId="7" fillId="0" borderId="5" xfId="0" applyNumberFormat="1" applyFont="1" applyBorder="1" applyAlignment="1">
      <alignment horizontal="center" vertical="center" wrapText="1"/>
    </xf>
    <xf numFmtId="178" fontId="7" fillId="0" borderId="6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6" fontId="7" fillId="0" borderId="6" xfId="0" applyNumberFormat="1" applyFont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93" fillId="7" borderId="10" xfId="0" applyFont="1" applyFill="1" applyBorder="1" applyAlignment="1">
      <alignment horizontal="justify" vertical="center" wrapText="1"/>
    </xf>
    <xf numFmtId="0" fontId="94" fillId="7" borderId="10" xfId="0" applyFont="1" applyFill="1" applyBorder="1" applyAlignment="1">
      <alignment horizontal="justify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94" fillId="7" borderId="18" xfId="0" applyFont="1" applyFill="1" applyBorder="1" applyAlignment="1">
      <alignment horizontal="justify" vertical="center" wrapText="1"/>
    </xf>
    <xf numFmtId="0" fontId="71" fillId="3" borderId="6" xfId="0" applyFont="1" applyFill="1" applyBorder="1" applyAlignment="1">
      <alignment horizontal="center" vertical="center" wrapText="1"/>
    </xf>
    <xf numFmtId="180" fontId="7" fillId="0" borderId="5" xfId="0" applyNumberFormat="1" applyFont="1" applyBorder="1" applyAlignment="1">
      <alignment horizontal="center" vertical="center" wrapText="1"/>
    </xf>
    <xf numFmtId="0" fontId="71" fillId="23" borderId="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 indent="2"/>
    </xf>
    <xf numFmtId="0" fontId="0" fillId="0" borderId="0" xfId="0" applyBorder="1">
      <alignment vertical="center"/>
    </xf>
    <xf numFmtId="0" fontId="1" fillId="26" borderId="0" xfId="0" applyFont="1" applyFill="1" applyBorder="1" applyAlignment="1">
      <alignment horizontal="center" vertical="center" wrapText="1"/>
    </xf>
    <xf numFmtId="0" fontId="71" fillId="3" borderId="136" xfId="0" applyFont="1" applyFill="1" applyBorder="1" applyAlignment="1">
      <alignment horizontal="center" vertical="center" wrapText="1"/>
    </xf>
    <xf numFmtId="0" fontId="71" fillId="3" borderId="137" xfId="0" applyFont="1" applyFill="1" applyBorder="1" applyAlignment="1">
      <alignment horizontal="center" vertical="center" wrapText="1"/>
    </xf>
    <xf numFmtId="0" fontId="7" fillId="0" borderId="138" xfId="0" applyFont="1" applyBorder="1" applyAlignment="1">
      <alignment horizontal="center" vertical="center" wrapText="1"/>
    </xf>
    <xf numFmtId="179" fontId="7" fillId="0" borderId="135" xfId="0" applyNumberFormat="1" applyFont="1" applyBorder="1" applyAlignment="1">
      <alignment horizontal="center" vertical="center" wrapText="1"/>
    </xf>
    <xf numFmtId="0" fontId="7" fillId="0" borderId="135" xfId="0" applyFont="1" applyBorder="1" applyAlignment="1">
      <alignment horizontal="center" vertical="center" wrapText="1"/>
    </xf>
    <xf numFmtId="0" fontId="71" fillId="3" borderId="146" xfId="0" applyFont="1" applyFill="1" applyBorder="1" applyAlignment="1">
      <alignment horizontal="center" vertical="center" wrapText="1"/>
    </xf>
    <xf numFmtId="0" fontId="32" fillId="26" borderId="73" xfId="0" applyFont="1" applyFill="1" applyBorder="1">
      <alignment vertical="center"/>
    </xf>
    <xf numFmtId="0" fontId="31" fillId="26" borderId="11" xfId="0" applyFont="1" applyFill="1" applyBorder="1">
      <alignment vertical="center"/>
    </xf>
    <xf numFmtId="0" fontId="32" fillId="26" borderId="10" xfId="0" applyFont="1" applyFill="1" applyBorder="1">
      <alignment vertical="center"/>
    </xf>
    <xf numFmtId="0" fontId="32" fillId="26" borderId="16" xfId="0" applyFont="1" applyFill="1" applyBorder="1">
      <alignment vertical="center"/>
    </xf>
    <xf numFmtId="0" fontId="102" fillId="5" borderId="109" xfId="0" applyFont="1" applyFill="1" applyBorder="1" applyAlignment="1">
      <alignment horizontal="center" vertical="center"/>
    </xf>
    <xf numFmtId="0" fontId="102" fillId="5" borderId="110" xfId="0" applyFont="1" applyFill="1" applyBorder="1" applyAlignment="1">
      <alignment horizontal="center" vertical="center"/>
    </xf>
    <xf numFmtId="0" fontId="102" fillId="5" borderId="111" xfId="0" applyFont="1" applyFill="1" applyBorder="1" applyAlignment="1">
      <alignment horizontal="center" vertical="center"/>
    </xf>
    <xf numFmtId="0" fontId="77" fillId="26" borderId="112" xfId="0" applyFont="1" applyFill="1" applyBorder="1" applyAlignment="1">
      <alignment horizontal="left" vertical="top" wrapText="1"/>
    </xf>
    <xf numFmtId="0" fontId="77" fillId="26" borderId="26" xfId="0" applyFont="1" applyFill="1" applyBorder="1" applyAlignment="1">
      <alignment horizontal="left" vertical="top" wrapText="1"/>
    </xf>
    <xf numFmtId="0" fontId="77" fillId="26" borderId="88" xfId="0" applyFont="1" applyFill="1" applyBorder="1" applyAlignment="1">
      <alignment horizontal="left" vertical="top" wrapText="1"/>
    </xf>
    <xf numFmtId="0" fontId="77" fillId="26" borderId="95" xfId="0" applyFont="1" applyFill="1" applyBorder="1" applyAlignment="1">
      <alignment horizontal="left" vertical="top" wrapText="1"/>
    </xf>
    <xf numFmtId="0" fontId="77" fillId="26" borderId="0" xfId="0" applyFont="1" applyFill="1" applyAlignment="1">
      <alignment horizontal="left" vertical="top" wrapText="1"/>
    </xf>
    <xf numFmtId="0" fontId="77" fillId="26" borderId="96" xfId="0" applyFont="1" applyFill="1" applyBorder="1" applyAlignment="1">
      <alignment horizontal="left" vertical="top" wrapText="1"/>
    </xf>
    <xf numFmtId="0" fontId="77" fillId="26" borderId="95" xfId="0" applyFont="1" applyFill="1" applyBorder="1">
      <alignment vertical="center"/>
    </xf>
    <xf numFmtId="0" fontId="77" fillId="26" borderId="0" xfId="0" applyFont="1" applyFill="1">
      <alignment vertical="center"/>
    </xf>
    <xf numFmtId="0" fontId="77" fillId="26" borderId="96" xfId="0" applyFont="1" applyFill="1" applyBorder="1">
      <alignment vertical="center"/>
    </xf>
    <xf numFmtId="0" fontId="77" fillId="26" borderId="97" xfId="0" applyFont="1" applyFill="1" applyBorder="1">
      <alignment vertical="center"/>
    </xf>
    <xf numFmtId="0" fontId="77" fillId="26" borderId="27" xfId="0" applyFont="1" applyFill="1" applyBorder="1">
      <alignment vertical="center"/>
    </xf>
    <xf numFmtId="0" fontId="77" fillId="26" borderId="28" xfId="0" applyFont="1" applyFill="1" applyBorder="1">
      <alignment vertical="center"/>
    </xf>
    <xf numFmtId="0" fontId="0" fillId="6" borderId="124" xfId="0" applyFill="1" applyBorder="1" applyAlignment="1">
      <alignment horizontal="center" vertical="center"/>
    </xf>
    <xf numFmtId="0" fontId="0" fillId="6" borderId="125" xfId="0" applyFill="1" applyBorder="1" applyAlignment="1">
      <alignment horizontal="center" vertical="center"/>
    </xf>
    <xf numFmtId="0" fontId="0" fillId="6" borderId="126" xfId="0" applyFill="1" applyBorder="1" applyAlignment="1">
      <alignment horizontal="center" vertical="center"/>
    </xf>
    <xf numFmtId="0" fontId="32" fillId="26" borderId="11" xfId="0" applyFont="1" applyFill="1" applyBorder="1">
      <alignment vertical="center"/>
    </xf>
    <xf numFmtId="0" fontId="32" fillId="26" borderId="40" xfId="0" applyFont="1" applyFill="1" applyBorder="1">
      <alignment vertical="center"/>
    </xf>
    <xf numFmtId="0" fontId="0" fillId="26" borderId="15" xfId="0" applyFill="1" applyBorder="1">
      <alignment vertical="center"/>
    </xf>
    <xf numFmtId="0" fontId="0" fillId="26" borderId="10" xfId="0" applyFill="1" applyBorder="1">
      <alignment vertical="center"/>
    </xf>
    <xf numFmtId="0" fontId="0" fillId="26" borderId="17" xfId="0" applyFill="1" applyBorder="1">
      <alignment vertical="center"/>
    </xf>
    <xf numFmtId="0" fontId="0" fillId="26" borderId="18" xfId="0" applyFill="1" applyBorder="1">
      <alignment vertical="center"/>
    </xf>
    <xf numFmtId="0" fontId="32" fillId="26" borderId="18" xfId="0" applyFont="1" applyFill="1" applyBorder="1">
      <alignment vertical="center"/>
    </xf>
    <xf numFmtId="0" fontId="32" fillId="26" borderId="19" xfId="0" applyFont="1" applyFill="1" applyBorder="1">
      <alignment vertical="center"/>
    </xf>
    <xf numFmtId="0" fontId="69" fillId="0" borderId="5" xfId="0" applyFont="1" applyBorder="1" applyAlignment="1">
      <alignment horizontal="justify" vertical="center" wrapText="1"/>
    </xf>
    <xf numFmtId="0" fontId="69" fillId="0" borderId="6" xfId="0" applyFont="1" applyBorder="1" applyAlignment="1">
      <alignment horizontal="justify" vertical="center" wrapText="1"/>
    </xf>
    <xf numFmtId="0" fontId="69" fillId="0" borderId="4" xfId="0" applyFont="1" applyBorder="1" applyAlignment="1">
      <alignment horizontal="center" vertical="center" wrapText="1"/>
    </xf>
    <xf numFmtId="0" fontId="69" fillId="0" borderId="5" xfId="0" applyFont="1" applyBorder="1" applyAlignment="1">
      <alignment horizontal="center" vertical="center" wrapText="1"/>
    </xf>
    <xf numFmtId="0" fontId="69" fillId="0" borderId="13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2"/>
    </xf>
    <xf numFmtId="0" fontId="7" fillId="4" borderId="5" xfId="0" applyFont="1" applyFill="1" applyBorder="1" applyAlignment="1">
      <alignment horizontal="left" vertical="center" wrapText="1" indent="2"/>
    </xf>
    <xf numFmtId="0" fontId="7" fillId="26" borderId="5" xfId="0" applyFont="1" applyFill="1" applyBorder="1" applyAlignment="1">
      <alignment horizontal="center" vertical="center" wrapText="1"/>
    </xf>
    <xf numFmtId="0" fontId="7" fillId="26" borderId="135" xfId="0" applyFont="1" applyFill="1" applyBorder="1" applyAlignment="1">
      <alignment horizontal="center" vertical="center" wrapText="1"/>
    </xf>
    <xf numFmtId="0" fontId="71" fillId="3" borderId="4" xfId="0" applyFont="1" applyFill="1" applyBorder="1" applyAlignment="1">
      <alignment horizontal="center" vertical="center" wrapText="1"/>
    </xf>
    <xf numFmtId="0" fontId="71" fillId="3" borderId="6" xfId="0" applyFont="1" applyFill="1" applyBorder="1" applyAlignment="1">
      <alignment horizontal="center" vertical="center" wrapText="1"/>
    </xf>
    <xf numFmtId="0" fontId="7" fillId="0" borderId="135" xfId="0" applyFont="1" applyBorder="1" applyAlignment="1">
      <alignment horizontal="center" vertical="center" wrapText="1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 vertical="center"/>
    </xf>
    <xf numFmtId="0" fontId="71" fillId="3" borderId="4" xfId="0" applyFont="1" applyFill="1" applyBorder="1" applyAlignment="1">
      <alignment horizontal="center" vertical="top" wrapText="1"/>
    </xf>
    <xf numFmtId="0" fontId="71" fillId="3" borderId="6" xfId="0" applyFont="1" applyFill="1" applyBorder="1" applyAlignment="1">
      <alignment horizontal="center" vertical="top" wrapText="1"/>
    </xf>
    <xf numFmtId="0" fontId="71" fillId="3" borderId="135" xfId="0" applyFont="1" applyFill="1" applyBorder="1" applyAlignment="1">
      <alignment horizontal="center" vertical="center" wrapText="1"/>
    </xf>
    <xf numFmtId="0" fontId="71" fillId="3" borderId="5" xfId="0" applyFont="1" applyFill="1" applyBorder="1" applyAlignment="1">
      <alignment horizontal="center" vertical="center" wrapText="1"/>
    </xf>
    <xf numFmtId="180" fontId="7" fillId="0" borderId="4" xfId="0" applyNumberFormat="1" applyFont="1" applyBorder="1" applyAlignment="1">
      <alignment horizontal="center" vertical="center" wrapText="1"/>
    </xf>
    <xf numFmtId="180" fontId="7" fillId="0" borderId="5" xfId="0" applyNumberFormat="1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68" fillId="0" borderId="20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67" fillId="0" borderId="22" xfId="0" applyFont="1" applyBorder="1" applyAlignment="1">
      <alignment horizontal="center" vertical="center" wrapText="1"/>
    </xf>
    <xf numFmtId="0" fontId="71" fillId="3" borderId="95" xfId="0" applyFont="1" applyFill="1" applyBorder="1" applyAlignment="1">
      <alignment horizontal="center" vertical="center" wrapText="1"/>
    </xf>
    <xf numFmtId="0" fontId="71" fillId="3" borderId="134" xfId="0" applyFont="1" applyFill="1" applyBorder="1" applyAlignment="1">
      <alignment horizontal="center" vertical="center" wrapText="1"/>
    </xf>
    <xf numFmtId="0" fontId="27" fillId="4" borderId="118" xfId="0" applyFont="1" applyFill="1" applyBorder="1" applyAlignment="1">
      <alignment horizontal="left" vertical="center" wrapText="1" indent="2"/>
    </xf>
    <xf numFmtId="0" fontId="27" fillId="4" borderId="0" xfId="0" applyFont="1" applyFill="1" applyBorder="1" applyAlignment="1">
      <alignment horizontal="left" vertical="center" wrapText="1" indent="2"/>
    </xf>
    <xf numFmtId="0" fontId="27" fillId="4" borderId="145" xfId="0" applyFont="1" applyFill="1" applyBorder="1" applyAlignment="1">
      <alignment horizontal="left" vertical="center" wrapText="1" indent="2"/>
    </xf>
    <xf numFmtId="0" fontId="27" fillId="4" borderId="35" xfId="0" applyFont="1" applyFill="1" applyBorder="1" applyAlignment="1">
      <alignment horizontal="left" vertical="center" wrapText="1" indent="2"/>
    </xf>
    <xf numFmtId="0" fontId="27" fillId="4" borderId="122" xfId="0" applyFont="1" applyFill="1" applyBorder="1" applyAlignment="1">
      <alignment horizontal="left" vertical="center" wrapText="1" indent="2"/>
    </xf>
    <xf numFmtId="0" fontId="27" fillId="4" borderId="36" xfId="0" applyFont="1" applyFill="1" applyBorder="1" applyAlignment="1">
      <alignment horizontal="left" vertical="center" wrapText="1" indent="2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35" xfId="0" applyFont="1" applyFill="1" applyBorder="1" applyAlignment="1">
      <alignment horizontal="center" vertical="center" wrapText="1"/>
    </xf>
    <xf numFmtId="0" fontId="8" fillId="7" borderId="147" xfId="0" applyFont="1" applyFill="1" applyBorder="1" applyAlignment="1">
      <alignment horizontal="center" vertical="center" wrapText="1"/>
    </xf>
    <xf numFmtId="0" fontId="8" fillId="7" borderId="132" xfId="0" applyFont="1" applyFill="1" applyBorder="1" applyAlignment="1">
      <alignment horizontal="center" vertical="center" wrapText="1"/>
    </xf>
    <xf numFmtId="0" fontId="71" fillId="3" borderId="147" xfId="0" applyFont="1" applyFill="1" applyBorder="1" applyAlignment="1">
      <alignment horizontal="center" vertical="center" wrapText="1"/>
    </xf>
    <xf numFmtId="0" fontId="71" fillId="3" borderId="132" xfId="0" applyFont="1" applyFill="1" applyBorder="1" applyAlignment="1">
      <alignment horizontal="center" vertical="center" wrapText="1"/>
    </xf>
    <xf numFmtId="0" fontId="71" fillId="3" borderId="133" xfId="0" applyFont="1" applyFill="1" applyBorder="1" applyAlignment="1">
      <alignment horizontal="center" vertical="center" wrapText="1"/>
    </xf>
    <xf numFmtId="0" fontId="104" fillId="26" borderId="147" xfId="0" applyFont="1" applyFill="1" applyBorder="1" applyAlignment="1">
      <alignment horizontal="center" vertical="center" wrapText="1"/>
    </xf>
    <xf numFmtId="0" fontId="104" fillId="26" borderId="148" xfId="0" applyFont="1" applyFill="1" applyBorder="1" applyAlignment="1">
      <alignment horizontal="center" vertical="center" wrapText="1"/>
    </xf>
    <xf numFmtId="0" fontId="69" fillId="0" borderId="132" xfId="0" applyFont="1" applyBorder="1" applyAlignment="1">
      <alignment horizontal="justify" vertical="center" wrapText="1"/>
    </xf>
    <xf numFmtId="0" fontId="69" fillId="0" borderId="133" xfId="0" applyFont="1" applyBorder="1" applyAlignment="1">
      <alignment horizontal="justify" vertical="center" wrapText="1"/>
    </xf>
    <xf numFmtId="0" fontId="69" fillId="0" borderId="135" xfId="0" applyFont="1" applyBorder="1" applyAlignment="1">
      <alignment horizontal="justify" vertical="center" wrapText="1"/>
    </xf>
    <xf numFmtId="0" fontId="97" fillId="0" borderId="4" xfId="0" applyFont="1" applyBorder="1" applyAlignment="1">
      <alignment horizontal="center" vertical="center" wrapText="1"/>
    </xf>
    <xf numFmtId="0" fontId="97" fillId="0" borderId="5" xfId="0" applyFont="1" applyBorder="1" applyAlignment="1">
      <alignment horizontal="center" vertical="center" wrapText="1"/>
    </xf>
    <xf numFmtId="0" fontId="97" fillId="0" borderId="135" xfId="0" applyFont="1" applyBorder="1" applyAlignment="1">
      <alignment horizontal="center" vertical="center" wrapText="1"/>
    </xf>
    <xf numFmtId="0" fontId="7" fillId="26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2"/>
    </xf>
    <xf numFmtId="0" fontId="7" fillId="4" borderId="8" xfId="0" applyFont="1" applyFill="1" applyBorder="1" applyAlignment="1">
      <alignment horizontal="left" vertical="center" wrapText="1" indent="2"/>
    </xf>
    <xf numFmtId="0" fontId="7" fillId="4" borderId="5" xfId="0" applyFont="1" applyFill="1" applyBorder="1" applyAlignment="1">
      <alignment horizontal="center" vertical="center" wrapText="1"/>
    </xf>
    <xf numFmtId="0" fontId="7" fillId="4" borderId="135" xfId="0" applyFont="1" applyFill="1" applyBorder="1" applyAlignment="1">
      <alignment horizontal="center" vertical="center" wrapText="1"/>
    </xf>
    <xf numFmtId="0" fontId="71" fillId="3" borderId="139" xfId="0" applyFont="1" applyFill="1" applyBorder="1" applyAlignment="1">
      <alignment horizontal="center" vertical="center" wrapText="1"/>
    </xf>
    <xf numFmtId="0" fontId="7" fillId="4" borderId="135" xfId="0" applyFont="1" applyFill="1" applyBorder="1" applyAlignment="1">
      <alignment horizontal="left" vertical="center" wrapText="1" indent="2"/>
    </xf>
    <xf numFmtId="0" fontId="71" fillId="23" borderId="139" xfId="0" applyFont="1" applyFill="1" applyBorder="1" applyAlignment="1">
      <alignment horizontal="left" vertical="center" wrapText="1"/>
    </xf>
    <xf numFmtId="0" fontId="71" fillId="23" borderId="5" xfId="0" applyFont="1" applyFill="1" applyBorder="1" applyAlignment="1">
      <alignment horizontal="left" vertical="center" wrapText="1"/>
    </xf>
    <xf numFmtId="0" fontId="71" fillId="23" borderId="6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 indent="2"/>
    </xf>
    <xf numFmtId="0" fontId="71" fillId="23" borderId="140" xfId="0" applyFont="1" applyFill="1" applyBorder="1" applyAlignment="1">
      <alignment horizontal="left" vertical="center" wrapText="1"/>
    </xf>
    <xf numFmtId="0" fontId="71" fillId="23" borderId="141" xfId="0" applyFont="1" applyFill="1" applyBorder="1" applyAlignment="1">
      <alignment horizontal="left" vertical="center" wrapText="1"/>
    </xf>
    <xf numFmtId="0" fontId="71" fillId="23" borderId="142" xfId="0" applyFont="1" applyFill="1" applyBorder="1" applyAlignment="1">
      <alignment horizontal="left" vertical="center" wrapText="1"/>
    </xf>
    <xf numFmtId="0" fontId="7" fillId="4" borderId="143" xfId="0" applyFont="1" applyFill="1" applyBorder="1" applyAlignment="1">
      <alignment horizontal="left" vertical="center" wrapText="1" indent="2"/>
    </xf>
    <xf numFmtId="0" fontId="7" fillId="4" borderId="141" xfId="0" applyFont="1" applyFill="1" applyBorder="1" applyAlignment="1">
      <alignment horizontal="left" vertical="center" wrapText="1" indent="2"/>
    </xf>
    <xf numFmtId="0" fontId="7" fillId="4" borderId="142" xfId="0" applyFont="1" applyFill="1" applyBorder="1" applyAlignment="1">
      <alignment horizontal="left" vertical="center" wrapText="1" indent="2"/>
    </xf>
    <xf numFmtId="0" fontId="7" fillId="4" borderId="144" xfId="0" applyFont="1" applyFill="1" applyBorder="1" applyAlignment="1">
      <alignment horizontal="left" vertical="center" wrapText="1" indent="2"/>
    </xf>
    <xf numFmtId="0" fontId="71" fillId="3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80" fontId="6" fillId="0" borderId="5" xfId="0" applyNumberFormat="1" applyFont="1" applyBorder="1" applyAlignment="1">
      <alignment horizontal="center" vertical="center" wrapText="1"/>
    </xf>
    <xf numFmtId="0" fontId="21" fillId="26" borderId="76" xfId="0" applyFont="1" applyFill="1" applyBorder="1" applyAlignment="1">
      <alignment horizontal="center" vertical="center"/>
    </xf>
    <xf numFmtId="0" fontId="21" fillId="26" borderId="27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57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4" fillId="0" borderId="121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103" fillId="0" borderId="18" xfId="0" applyFont="1" applyBorder="1" applyAlignment="1">
      <alignment horizontal="center" vertical="center" wrapText="1"/>
    </xf>
    <xf numFmtId="0" fontId="103" fillId="0" borderId="19" xfId="0" applyFont="1" applyBorder="1" applyAlignment="1">
      <alignment horizontal="center" vertical="center" wrapText="1"/>
    </xf>
    <xf numFmtId="186" fontId="13" fillId="0" borderId="34" xfId="0" applyNumberFormat="1" applyFont="1" applyBorder="1" applyAlignment="1">
      <alignment horizontal="right" vertical="center" wrapText="1"/>
    </xf>
    <xf numFmtId="186" fontId="13" fillId="0" borderId="101" xfId="0" applyNumberFormat="1" applyFont="1" applyBorder="1" applyAlignment="1">
      <alignment horizontal="right" vertical="center" wrapText="1"/>
    </xf>
    <xf numFmtId="0" fontId="4" fillId="7" borderId="14" xfId="0" applyFont="1" applyFill="1" applyBorder="1" applyAlignment="1">
      <alignment horizontal="center" vertical="center" wrapText="1"/>
    </xf>
    <xf numFmtId="186" fontId="13" fillId="0" borderId="37" xfId="0" applyNumberFormat="1" applyFont="1" applyBorder="1" applyAlignment="1">
      <alignment horizontal="right" vertical="center" wrapText="1"/>
    </xf>
    <xf numFmtId="186" fontId="13" fillId="0" borderId="102" xfId="0" applyNumberFormat="1" applyFont="1" applyBorder="1" applyAlignment="1">
      <alignment horizontal="right" vertical="center" wrapText="1"/>
    </xf>
    <xf numFmtId="186" fontId="13" fillId="0" borderId="38" xfId="0" applyNumberFormat="1" applyFont="1" applyBorder="1" applyAlignment="1">
      <alignment horizontal="right" vertical="center" wrapText="1"/>
    </xf>
    <xf numFmtId="186" fontId="13" fillId="0" borderId="123" xfId="0" applyNumberFormat="1" applyFont="1" applyBorder="1" applyAlignment="1">
      <alignment horizontal="right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40" xfId="0" applyFont="1" applyFill="1" applyBorder="1" applyAlignment="1">
      <alignment horizontal="center" vertical="center" wrapText="1"/>
    </xf>
    <xf numFmtId="0" fontId="103" fillId="0" borderId="10" xfId="0" applyFont="1" applyBorder="1" applyAlignment="1">
      <alignment horizontal="center" vertical="center" wrapText="1"/>
    </xf>
    <xf numFmtId="0" fontId="103" fillId="0" borderId="16" xfId="0" applyFont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27" fillId="7" borderId="25" xfId="0" applyFont="1" applyFill="1" applyBorder="1" applyAlignment="1">
      <alignment horizontal="center" vertical="center" wrapText="1"/>
    </xf>
    <xf numFmtId="0" fontId="27" fillId="7" borderId="43" xfId="0" applyFont="1" applyFill="1" applyBorder="1" applyAlignment="1">
      <alignment horizontal="center" vertical="center" wrapText="1"/>
    </xf>
    <xf numFmtId="0" fontId="27" fillId="7" borderId="41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center" vertical="center" wrapText="1"/>
    </xf>
    <xf numFmtId="0" fontId="13" fillId="7" borderId="37" xfId="0" applyFont="1" applyFill="1" applyBorder="1" applyAlignment="1">
      <alignment horizontal="center" vertical="center" wrapText="1"/>
    </xf>
    <xf numFmtId="186" fontId="103" fillId="0" borderId="18" xfId="0" applyNumberFormat="1" applyFont="1" applyBorder="1" applyAlignment="1">
      <alignment horizontal="right" vertical="center" wrapText="1"/>
    </xf>
    <xf numFmtId="186" fontId="27" fillId="0" borderId="18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0" fontId="8" fillId="7" borderId="85" xfId="0" applyFont="1" applyFill="1" applyBorder="1" applyAlignment="1">
      <alignment horizontal="center" vertical="center" wrapText="1"/>
    </xf>
    <xf numFmtId="186" fontId="5" fillId="7" borderId="11" xfId="0" applyNumberFormat="1" applyFont="1" applyFill="1" applyBorder="1" applyAlignment="1">
      <alignment horizontal="right" vertical="center" wrapText="1"/>
    </xf>
    <xf numFmtId="186" fontId="103" fillId="0" borderId="10" xfId="0" applyNumberFormat="1" applyFont="1" applyBorder="1" applyAlignment="1">
      <alignment horizontal="right" vertical="center" wrapText="1"/>
    </xf>
    <xf numFmtId="180" fontId="94" fillId="0" borderId="10" xfId="1" applyNumberFormat="1" applyFont="1" applyFill="1" applyBorder="1" applyAlignment="1">
      <alignment horizontal="center" vertical="center" wrapText="1"/>
    </xf>
    <xf numFmtId="180" fontId="4" fillId="0" borderId="10" xfId="1" applyNumberFormat="1" applyFont="1" applyFill="1" applyBorder="1" applyAlignment="1">
      <alignment horizontal="center" vertical="center" wrapText="1"/>
    </xf>
    <xf numFmtId="186" fontId="27" fillId="0" borderId="10" xfId="0" applyNumberFormat="1" applyFont="1" applyBorder="1" applyAlignment="1">
      <alignment horizontal="right" vertical="center"/>
    </xf>
    <xf numFmtId="0" fontId="27" fillId="7" borderId="70" xfId="0" applyFont="1" applyFill="1" applyBorder="1" applyAlignment="1">
      <alignment horizontal="center" vertical="center" wrapText="1"/>
    </xf>
    <xf numFmtId="0" fontId="27" fillId="7" borderId="71" xfId="0" applyFont="1" applyFill="1" applyBorder="1" applyAlignment="1">
      <alignment horizontal="center" vertical="center" wrapText="1"/>
    </xf>
    <xf numFmtId="0" fontId="27" fillId="7" borderId="42" xfId="0" applyFont="1" applyFill="1" applyBorder="1" applyAlignment="1">
      <alignment horizontal="center" vertical="center" wrapText="1"/>
    </xf>
    <xf numFmtId="0" fontId="27" fillId="7" borderId="26" xfId="0" applyFont="1" applyFill="1" applyBorder="1" applyAlignment="1">
      <alignment horizontal="center" vertical="center" wrapText="1"/>
    </xf>
    <xf numFmtId="0" fontId="27" fillId="7" borderId="69" xfId="0" applyFont="1" applyFill="1" applyBorder="1" applyAlignment="1">
      <alignment horizontal="center" vertical="center" wrapText="1"/>
    </xf>
    <xf numFmtId="0" fontId="27" fillId="7" borderId="32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84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86" xfId="0" applyFont="1" applyFill="1" applyBorder="1" applyAlignment="1">
      <alignment horizontal="center" vertical="center" wrapText="1"/>
    </xf>
    <xf numFmtId="190" fontId="94" fillId="0" borderId="16" xfId="2" applyNumberFormat="1" applyFont="1" applyFill="1" applyBorder="1" applyAlignment="1">
      <alignment horizontal="center" vertical="center" wrapText="1"/>
    </xf>
    <xf numFmtId="190" fontId="94" fillId="0" borderId="10" xfId="2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5" fillId="0" borderId="129" xfId="0" applyFont="1" applyBorder="1" applyAlignment="1">
      <alignment horizontal="center" vertical="center" wrapText="1"/>
    </xf>
    <xf numFmtId="0" fontId="25" fillId="0" borderId="13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16" borderId="113" xfId="0" applyFont="1" applyFill="1" applyBorder="1" applyAlignment="1">
      <alignment horizontal="center" vertical="center" wrapText="1"/>
    </xf>
    <xf numFmtId="0" fontId="25" fillId="16" borderId="114" xfId="0" applyFont="1" applyFill="1" applyBorder="1" applyAlignment="1">
      <alignment horizontal="center" vertical="center" wrapText="1"/>
    </xf>
    <xf numFmtId="0" fontId="25" fillId="16" borderId="115" xfId="0" applyFont="1" applyFill="1" applyBorder="1" applyAlignment="1">
      <alignment horizontal="center" vertical="center" wrapText="1"/>
    </xf>
    <xf numFmtId="0" fontId="81" fillId="0" borderId="118" xfId="0" applyFont="1" applyBorder="1" applyAlignment="1">
      <alignment horizontal="left" vertical="center"/>
    </xf>
    <xf numFmtId="0" fontId="81" fillId="0" borderId="0" xfId="0" applyFont="1" applyAlignment="1">
      <alignment horizontal="left" vertical="center"/>
    </xf>
    <xf numFmtId="0" fontId="86" fillId="0" borderId="0" xfId="0" applyFont="1">
      <alignment vertical="center"/>
    </xf>
    <xf numFmtId="0" fontId="2" fillId="11" borderId="119" xfId="0" applyFont="1" applyFill="1" applyBorder="1" applyAlignment="1">
      <alignment horizontal="center" vertical="center"/>
    </xf>
    <xf numFmtId="0" fontId="2" fillId="11" borderId="120" xfId="0" applyFont="1" applyFill="1" applyBorder="1" applyAlignment="1">
      <alignment horizontal="center" vertical="center"/>
    </xf>
    <xf numFmtId="0" fontId="0" fillId="0" borderId="92" xfId="0" applyBorder="1" applyAlignment="1">
      <alignment horizontal="left" vertical="top" wrapText="1"/>
    </xf>
    <xf numFmtId="0" fontId="0" fillId="0" borderId="93" xfId="0" applyBorder="1" applyAlignment="1">
      <alignment horizontal="left" vertical="top" wrapText="1"/>
    </xf>
    <xf numFmtId="0" fontId="0" fillId="0" borderId="94" xfId="0" applyBorder="1" applyAlignment="1">
      <alignment horizontal="left" vertical="top" wrapText="1"/>
    </xf>
    <xf numFmtId="0" fontId="0" fillId="0" borderId="9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96" xfId="0" applyBorder="1" applyAlignment="1">
      <alignment horizontal="left" vertical="top" wrapText="1"/>
    </xf>
    <xf numFmtId="0" fontId="0" fillId="0" borderId="97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7" fillId="0" borderId="2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22" fillId="0" borderId="67" xfId="0" applyFont="1" applyBorder="1" applyAlignment="1">
      <alignment horizontal="center" vertical="center" wrapText="1"/>
    </xf>
    <xf numFmtId="0" fontId="22" fillId="0" borderId="68" xfId="0" applyFont="1" applyBorder="1" applyAlignment="1">
      <alignment horizontal="center" vertical="center" wrapText="1"/>
    </xf>
    <xf numFmtId="0" fontId="22" fillId="8" borderId="78" xfId="0" applyFont="1" applyFill="1" applyBorder="1" applyAlignment="1">
      <alignment horizontal="center" vertical="center"/>
    </xf>
    <xf numFmtId="0" fontId="22" fillId="8" borderId="79" xfId="0" applyFont="1" applyFill="1" applyBorder="1" applyAlignment="1">
      <alignment horizontal="center" vertical="center"/>
    </xf>
    <xf numFmtId="0" fontId="22" fillId="8" borderId="80" xfId="0" applyFont="1" applyFill="1" applyBorder="1" applyAlignment="1">
      <alignment horizontal="center" vertical="center"/>
    </xf>
    <xf numFmtId="0" fontId="65" fillId="3" borderId="14" xfId="0" applyFont="1" applyFill="1" applyBorder="1" applyAlignment="1">
      <alignment horizontal="center" vertical="center" wrapText="1"/>
    </xf>
    <xf numFmtId="0" fontId="65" fillId="3" borderId="16" xfId="0" applyFont="1" applyFill="1" applyBorder="1" applyAlignment="1">
      <alignment horizontal="center" vertical="center" wrapText="1"/>
    </xf>
    <xf numFmtId="0" fontId="73" fillId="8" borderId="78" xfId="0" applyFont="1" applyFill="1" applyBorder="1" applyAlignment="1">
      <alignment horizontal="center" vertical="center"/>
    </xf>
    <xf numFmtId="0" fontId="73" fillId="8" borderId="79" xfId="0" applyFont="1" applyFill="1" applyBorder="1" applyAlignment="1">
      <alignment horizontal="center" vertical="center"/>
    </xf>
    <xf numFmtId="0" fontId="73" fillId="8" borderId="80" xfId="0" applyFont="1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0" fillId="5" borderId="90" xfId="0" applyFill="1" applyBorder="1" applyAlignment="1">
      <alignment horizontal="center" vertical="center"/>
    </xf>
    <xf numFmtId="0" fontId="0" fillId="5" borderId="91" xfId="0" applyFill="1" applyBorder="1" applyAlignment="1">
      <alignment horizontal="center" vertical="center"/>
    </xf>
    <xf numFmtId="0" fontId="65" fillId="3" borderId="77" xfId="0" applyFont="1" applyFill="1" applyBorder="1" applyAlignment="1">
      <alignment horizontal="center" vertical="center" wrapText="1"/>
    </xf>
    <xf numFmtId="0" fontId="65" fillId="3" borderId="11" xfId="0" applyFont="1" applyFill="1" applyBorder="1" applyAlignment="1">
      <alignment horizontal="center" vertical="center" wrapText="1"/>
    </xf>
    <xf numFmtId="0" fontId="65" fillId="3" borderId="13" xfId="0" applyFont="1" applyFill="1" applyBorder="1" applyAlignment="1">
      <alignment horizontal="center" vertical="center" wrapText="1"/>
    </xf>
    <xf numFmtId="0" fontId="65" fillId="3" borderId="10" xfId="0" applyFont="1" applyFill="1" applyBorder="1" applyAlignment="1">
      <alignment horizontal="center" vertical="center" wrapText="1"/>
    </xf>
    <xf numFmtId="0" fontId="37" fillId="8" borderId="83" xfId="0" applyFont="1" applyFill="1" applyBorder="1" applyAlignment="1">
      <alignment horizontal="center" vertical="center"/>
    </xf>
    <xf numFmtId="0" fontId="37" fillId="8" borderId="29" xfId="0" applyFont="1" applyFill="1" applyBorder="1" applyAlignment="1">
      <alignment horizontal="center" vertical="center"/>
    </xf>
    <xf numFmtId="0" fontId="37" fillId="8" borderId="30" xfId="0" applyFont="1" applyFill="1" applyBorder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22" fillId="8" borderId="15" xfId="0" applyFont="1" applyFill="1" applyBorder="1" applyAlignment="1">
      <alignment horizontal="center" vertical="center"/>
    </xf>
    <xf numFmtId="0" fontId="0" fillId="5" borderId="98" xfId="0" applyFill="1" applyBorder="1" applyAlignment="1">
      <alignment horizontal="center" vertical="center"/>
    </xf>
    <xf numFmtId="0" fontId="0" fillId="5" borderId="99" xfId="0" applyFill="1" applyBorder="1" applyAlignment="1">
      <alignment horizontal="center" vertical="center"/>
    </xf>
    <xf numFmtId="0" fontId="0" fillId="5" borderId="100" xfId="0" applyFill="1" applyBorder="1" applyAlignment="1">
      <alignment horizontal="center" vertical="center"/>
    </xf>
    <xf numFmtId="0" fontId="0" fillId="0" borderId="92" xfId="0" applyBorder="1" applyAlignment="1">
      <alignment vertical="top" wrapText="1"/>
    </xf>
    <xf numFmtId="0" fontId="0" fillId="0" borderId="93" xfId="0" applyBorder="1" applyAlignment="1">
      <alignment vertical="top" wrapText="1"/>
    </xf>
    <xf numFmtId="0" fontId="0" fillId="0" borderId="94" xfId="0" applyBorder="1" applyAlignment="1">
      <alignment vertical="top" wrapText="1"/>
    </xf>
    <xf numFmtId="0" fontId="0" fillId="0" borderId="95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96" xfId="0" applyBorder="1" applyAlignment="1">
      <alignment vertical="top" wrapText="1"/>
    </xf>
    <xf numFmtId="0" fontId="0" fillId="0" borderId="97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52" fillId="20" borderId="10" xfId="0" applyFont="1" applyFill="1" applyBorder="1" applyAlignment="1">
      <alignment horizontal="center" vertical="center" wrapText="1"/>
    </xf>
    <xf numFmtId="0" fontId="35" fillId="0" borderId="59" xfId="3" applyBorder="1" applyAlignment="1">
      <alignment horizontal="center" vertical="center" wrapText="1"/>
    </xf>
    <xf numFmtId="0" fontId="35" fillId="0" borderId="60" xfId="3" applyBorder="1" applyAlignment="1">
      <alignment horizontal="center" vertical="center" wrapText="1"/>
    </xf>
    <xf numFmtId="0" fontId="35" fillId="0" borderId="61" xfId="3" applyBorder="1" applyAlignment="1">
      <alignment horizontal="center" vertical="center" wrapText="1"/>
    </xf>
    <xf numFmtId="0" fontId="36" fillId="10" borderId="47" xfId="3" applyFont="1" applyFill="1" applyBorder="1">
      <alignment vertical="center"/>
    </xf>
    <xf numFmtId="0" fontId="36" fillId="10" borderId="48" xfId="3" applyFont="1" applyFill="1" applyBorder="1">
      <alignment vertical="center"/>
    </xf>
    <xf numFmtId="0" fontId="36" fillId="10" borderId="49" xfId="3" applyFont="1" applyFill="1" applyBorder="1">
      <alignment vertical="center"/>
    </xf>
    <xf numFmtId="0" fontId="36" fillId="10" borderId="50" xfId="3" applyFont="1" applyFill="1" applyBorder="1">
      <alignment vertical="center"/>
    </xf>
    <xf numFmtId="0" fontId="36" fillId="10" borderId="0" xfId="3" applyFont="1" applyFill="1">
      <alignment vertical="center"/>
    </xf>
    <xf numFmtId="0" fontId="36" fillId="10" borderId="51" xfId="3" applyFont="1" applyFill="1" applyBorder="1">
      <alignment vertical="center"/>
    </xf>
    <xf numFmtId="0" fontId="41" fillId="15" borderId="10" xfId="0" applyFont="1" applyFill="1" applyBorder="1" applyAlignment="1">
      <alignment horizontal="center" vertical="center" wrapText="1"/>
    </xf>
    <xf numFmtId="0" fontId="43" fillId="15" borderId="10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/>
    </xf>
    <xf numFmtId="0" fontId="40" fillId="13" borderId="10" xfId="0" applyFont="1" applyFill="1" applyBorder="1" applyAlignment="1">
      <alignment horizontal="center" vertical="center" wrapText="1"/>
    </xf>
    <xf numFmtId="0" fontId="40" fillId="13" borderId="10" xfId="0" applyFont="1" applyFill="1" applyBorder="1" applyAlignment="1">
      <alignment horizontal="center" vertical="center"/>
    </xf>
    <xf numFmtId="0" fontId="88" fillId="0" borderId="118" xfId="0" applyFont="1" applyBorder="1" applyAlignment="1">
      <alignment horizontal="left" vertical="center"/>
    </xf>
    <xf numFmtId="0" fontId="88" fillId="0" borderId="0" xfId="0" applyFont="1" applyAlignment="1">
      <alignment horizontal="left" vertical="center"/>
    </xf>
    <xf numFmtId="0" fontId="89" fillId="0" borderId="0" xfId="0" applyFont="1">
      <alignment vertical="center"/>
    </xf>
    <xf numFmtId="0" fontId="111" fillId="19" borderId="0" xfId="0" applyFont="1" applyFill="1" applyAlignment="1">
      <alignment horizontal="left" vertical="center" wrapText="1"/>
    </xf>
    <xf numFmtId="0" fontId="110" fillId="19" borderId="0" xfId="0" applyFont="1" applyFill="1" applyAlignment="1">
      <alignment horizontal="left" vertical="center"/>
    </xf>
    <xf numFmtId="0" fontId="12" fillId="7" borderId="13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28" fillId="7" borderId="13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186" fontId="112" fillId="0" borderId="127" xfId="0" applyNumberFormat="1" applyFont="1" applyBorder="1" applyAlignment="1">
      <alignment horizontal="right" vertical="center" shrinkToFit="1"/>
    </xf>
    <xf numFmtId="186" fontId="112" fillId="0" borderId="128" xfId="0" applyNumberFormat="1" applyFont="1" applyBorder="1" applyAlignment="1">
      <alignment horizontal="right" vertical="center" shrinkToFit="1"/>
    </xf>
    <xf numFmtId="186" fontId="112" fillId="0" borderId="6" xfId="0" applyNumberFormat="1" applyFont="1" applyBorder="1" applyAlignment="1">
      <alignment horizontal="right" vertical="center" shrinkToFit="1"/>
    </xf>
    <xf numFmtId="186" fontId="112" fillId="0" borderId="33" xfId="0" applyNumberFormat="1" applyFont="1" applyBorder="1" applyAlignment="1">
      <alignment horizontal="right" vertical="center" shrinkToFit="1"/>
    </xf>
    <xf numFmtId="186" fontId="113" fillId="0" borderId="24" xfId="0" applyNumberFormat="1" applyFont="1" applyBorder="1" applyAlignment="1">
      <alignment horizontal="right" vertical="center" shrinkToFit="1"/>
    </xf>
    <xf numFmtId="186" fontId="112" fillId="0" borderId="24" xfId="0" applyNumberFormat="1" applyFont="1" applyBorder="1" applyAlignment="1">
      <alignment horizontal="right" vertical="center" shrinkToFit="1"/>
    </xf>
    <xf numFmtId="186" fontId="112" fillId="0" borderId="3" xfId="0" applyNumberFormat="1" applyFont="1" applyBorder="1" applyAlignment="1">
      <alignment horizontal="right" vertical="center" shrinkToFit="1"/>
    </xf>
    <xf numFmtId="0" fontId="115" fillId="4" borderId="10" xfId="0" applyFont="1" applyFill="1" applyBorder="1">
      <alignment vertical="center"/>
    </xf>
    <xf numFmtId="0" fontId="116" fillId="4" borderId="73" xfId="0" applyFont="1" applyFill="1" applyBorder="1" applyAlignment="1">
      <alignment horizontal="center" vertical="center"/>
    </xf>
    <xf numFmtId="0" fontId="116" fillId="4" borderId="10" xfId="0" applyFont="1" applyFill="1" applyBorder="1">
      <alignment vertical="center"/>
    </xf>
    <xf numFmtId="0" fontId="116" fillId="4" borderId="11" xfId="0" applyFont="1" applyFill="1" applyBorder="1">
      <alignment vertical="center"/>
    </xf>
    <xf numFmtId="186" fontId="112" fillId="4" borderId="11" xfId="0" applyNumberFormat="1" applyFont="1" applyFill="1" applyBorder="1" applyAlignment="1">
      <alignment horizontal="right" vertical="center" shrinkToFit="1"/>
    </xf>
    <xf numFmtId="0" fontId="116" fillId="4" borderId="15" xfId="0" applyFont="1" applyFill="1" applyBorder="1" applyAlignment="1">
      <alignment horizontal="center" vertical="center"/>
    </xf>
    <xf numFmtId="186" fontId="112" fillId="4" borderId="10" xfId="0" applyNumberFormat="1" applyFont="1" applyFill="1" applyBorder="1" applyAlignment="1">
      <alignment horizontal="right" vertical="center" shrinkToFit="1"/>
    </xf>
    <xf numFmtId="0" fontId="117" fillId="4" borderId="10" xfId="0" applyFont="1" applyFill="1" applyBorder="1">
      <alignment vertical="center"/>
    </xf>
    <xf numFmtId="186" fontId="118" fillId="4" borderId="10" xfId="0" applyNumberFormat="1" applyFont="1" applyFill="1" applyBorder="1" applyAlignment="1">
      <alignment horizontal="right" vertical="center" shrinkToFit="1"/>
    </xf>
    <xf numFmtId="0" fontId="115" fillId="4" borderId="10" xfId="0" applyFont="1" applyFill="1" applyBorder="1" applyAlignment="1">
      <alignment vertical="center" wrapText="1"/>
    </xf>
    <xf numFmtId="181" fontId="119" fillId="4" borderId="34" xfId="0" applyNumberFormat="1" applyFont="1" applyFill="1" applyBorder="1" applyAlignment="1">
      <alignment horizontal="right" vertical="center" wrapText="1"/>
    </xf>
    <xf numFmtId="0" fontId="115" fillId="4" borderId="37" xfId="0" applyFont="1" applyFill="1" applyBorder="1">
      <alignment vertical="center"/>
    </xf>
    <xf numFmtId="0" fontId="115" fillId="4" borderId="10" xfId="0" quotePrefix="1" applyFont="1" applyFill="1" applyBorder="1">
      <alignment vertical="center"/>
    </xf>
    <xf numFmtId="0" fontId="121" fillId="4" borderId="36" xfId="0" applyFont="1" applyFill="1" applyBorder="1">
      <alignment vertical="center"/>
    </xf>
    <xf numFmtId="186" fontId="121" fillId="4" borderId="11" xfId="0" applyNumberFormat="1" applyFont="1" applyFill="1" applyBorder="1" applyAlignment="1">
      <alignment horizontal="right" vertical="center" wrapText="1"/>
    </xf>
    <xf numFmtId="0" fontId="121" fillId="4" borderId="37" xfId="0" applyFont="1" applyFill="1" applyBorder="1">
      <alignment vertical="center"/>
    </xf>
    <xf numFmtId="186" fontId="121" fillId="4" borderId="10" xfId="0" applyNumberFormat="1" applyFont="1" applyFill="1" applyBorder="1" applyAlignment="1">
      <alignment horizontal="right" vertical="center" wrapText="1"/>
    </xf>
  </cellXfs>
  <cellStyles count="5">
    <cellStyle name="백분율" xfId="2" builtinId="5"/>
    <cellStyle name="쉼표 [0]" xfId="1" builtinId="6"/>
    <cellStyle name="표준" xfId="0" builtinId="0"/>
    <cellStyle name="표준 10 10 2" xfId="4" xr:uid="{00000000-0005-0000-0000-000003000000}"/>
    <cellStyle name="표준 2" xfId="3" xr:uid="{00000000-0005-0000-0000-000004000000}"/>
  </cellStyles>
  <dxfs count="14"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U$19" lockText="1"/>
</file>

<file path=xl/ctrlProps/ctrlProp10.xml><?xml version="1.0" encoding="utf-8"?>
<formControlPr xmlns="http://schemas.microsoft.com/office/spreadsheetml/2009/9/main" objectType="CheckBox" fmlaLink="$U$24" lockText="1"/>
</file>

<file path=xl/ctrlProps/ctrlProp11.xml><?xml version="1.0" encoding="utf-8"?>
<formControlPr xmlns="http://schemas.microsoft.com/office/spreadsheetml/2009/9/main" objectType="CheckBox" fmlaLink="$V$20" lockText="1"/>
</file>

<file path=xl/ctrlProps/ctrlProp12.xml><?xml version="1.0" encoding="utf-8"?>
<formControlPr xmlns="http://schemas.microsoft.com/office/spreadsheetml/2009/9/main" objectType="CheckBox" fmlaLink="$V$21" lockText="1"/>
</file>

<file path=xl/ctrlProps/ctrlProp13.xml><?xml version="1.0" encoding="utf-8"?>
<formControlPr xmlns="http://schemas.microsoft.com/office/spreadsheetml/2009/9/main" objectType="CheckBox" fmlaLink="$V$22" lockText="1"/>
</file>

<file path=xl/ctrlProps/ctrlProp14.xml><?xml version="1.0" encoding="utf-8"?>
<formControlPr xmlns="http://schemas.microsoft.com/office/spreadsheetml/2009/9/main" objectType="CheckBox" fmlaLink="$V$23" lockText="1"/>
</file>

<file path=xl/ctrlProps/ctrlProp15.xml><?xml version="1.0" encoding="utf-8"?>
<formControlPr xmlns="http://schemas.microsoft.com/office/spreadsheetml/2009/9/main" objectType="CheckBox" fmlaLink="$V$24" lockText="1"/>
</file>

<file path=xl/ctrlProps/ctrlProp16.xml><?xml version="1.0" encoding="utf-8"?>
<formControlPr xmlns="http://schemas.microsoft.com/office/spreadsheetml/2009/9/main" objectType="CheckBox" fmlaLink="$V$25" lockText="1"/>
</file>

<file path=xl/ctrlProps/ctrlProp17.xml><?xml version="1.0" encoding="utf-8"?>
<formControlPr xmlns="http://schemas.microsoft.com/office/spreadsheetml/2009/9/main" objectType="Radio" firstButton="1" fmlaLink="$S$16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CheckBox" fmlaLink="$V$19" lockText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CheckBox" fmlaLink="$K$6" lockText="1"/>
</file>

<file path=xl/ctrlProps/ctrlProp22.xml><?xml version="1.0" encoding="utf-8"?>
<formControlPr xmlns="http://schemas.microsoft.com/office/spreadsheetml/2009/9/main" objectType="CheckBox" fmlaLink="$L$6" lockText="1"/>
</file>

<file path=xl/ctrlProps/ctrlProp23.xml><?xml version="1.0" encoding="utf-8"?>
<formControlPr xmlns="http://schemas.microsoft.com/office/spreadsheetml/2009/9/main" objectType="CheckBox" fmlaLink="$K$7" lockText="1"/>
</file>

<file path=xl/ctrlProps/ctrlProp24.xml><?xml version="1.0" encoding="utf-8"?>
<formControlPr xmlns="http://schemas.microsoft.com/office/spreadsheetml/2009/9/main" objectType="CheckBox" fmlaLink="$L$7" lockText="1"/>
</file>

<file path=xl/ctrlProps/ctrlProp25.xml><?xml version="1.0" encoding="utf-8"?>
<formControlPr xmlns="http://schemas.microsoft.com/office/spreadsheetml/2009/9/main" objectType="CheckBox" fmlaLink="$K$8" lockText="1"/>
</file>

<file path=xl/ctrlProps/ctrlProp26.xml><?xml version="1.0" encoding="utf-8"?>
<formControlPr xmlns="http://schemas.microsoft.com/office/spreadsheetml/2009/9/main" objectType="CheckBox" fmlaLink="$L$8" lockText="1"/>
</file>

<file path=xl/ctrlProps/ctrlProp27.xml><?xml version="1.0" encoding="utf-8"?>
<formControlPr xmlns="http://schemas.microsoft.com/office/spreadsheetml/2009/9/main" objectType="CheckBox" fmlaLink="$K$9" lockText="1"/>
</file>

<file path=xl/ctrlProps/ctrlProp28.xml><?xml version="1.0" encoding="utf-8"?>
<formControlPr xmlns="http://schemas.microsoft.com/office/spreadsheetml/2009/9/main" objectType="CheckBox" fmlaLink="$L$9" lockText="1"/>
</file>

<file path=xl/ctrlProps/ctrlProp29.xml><?xml version="1.0" encoding="utf-8"?>
<formControlPr xmlns="http://schemas.microsoft.com/office/spreadsheetml/2009/9/main" objectType="CheckBox" fmlaLink="$K$10" lockText="1"/>
</file>

<file path=xl/ctrlProps/ctrlProp3.xml><?xml version="1.0" encoding="utf-8"?>
<formControlPr xmlns="http://schemas.microsoft.com/office/spreadsheetml/2009/9/main" objectType="CheckBox" fmlaLink="$U$18" lockText="1"/>
</file>

<file path=xl/ctrlProps/ctrlProp30.xml><?xml version="1.0" encoding="utf-8"?>
<formControlPr xmlns="http://schemas.microsoft.com/office/spreadsheetml/2009/9/main" objectType="CheckBox" fmlaLink="$L$10" lockText="1"/>
</file>

<file path=xl/ctrlProps/ctrlProp31.xml><?xml version="1.0" encoding="utf-8"?>
<formControlPr xmlns="http://schemas.microsoft.com/office/spreadsheetml/2009/9/main" objectType="CheckBox" fmlaLink="$K$11" lockText="1"/>
</file>

<file path=xl/ctrlProps/ctrlProp32.xml><?xml version="1.0" encoding="utf-8"?>
<formControlPr xmlns="http://schemas.microsoft.com/office/spreadsheetml/2009/9/main" objectType="CheckBox" fmlaLink="$L$11" lockText="1"/>
</file>

<file path=xl/ctrlProps/ctrlProp33.xml><?xml version="1.0" encoding="utf-8"?>
<formControlPr xmlns="http://schemas.microsoft.com/office/spreadsheetml/2009/9/main" objectType="CheckBox" fmlaLink="$K$12" lockText="1"/>
</file>

<file path=xl/ctrlProps/ctrlProp34.xml><?xml version="1.0" encoding="utf-8"?>
<formControlPr xmlns="http://schemas.microsoft.com/office/spreadsheetml/2009/9/main" objectType="CheckBox" fmlaLink="$L$12" lockText="1"/>
</file>

<file path=xl/ctrlProps/ctrlProp35.xml><?xml version="1.0" encoding="utf-8"?>
<formControlPr xmlns="http://schemas.microsoft.com/office/spreadsheetml/2009/9/main" objectType="CheckBox" fmlaLink="$K$13" lockText="1"/>
</file>

<file path=xl/ctrlProps/ctrlProp36.xml><?xml version="1.0" encoding="utf-8"?>
<formControlPr xmlns="http://schemas.microsoft.com/office/spreadsheetml/2009/9/main" objectType="CheckBox" fmlaLink="$L$13" lockText="1"/>
</file>

<file path=xl/ctrlProps/ctrlProp37.xml><?xml version="1.0" encoding="utf-8"?>
<formControlPr xmlns="http://schemas.microsoft.com/office/spreadsheetml/2009/9/main" objectType="CheckBox" fmlaLink="$K$15" lockText="1"/>
</file>

<file path=xl/ctrlProps/ctrlProp38.xml><?xml version="1.0" encoding="utf-8"?>
<formControlPr xmlns="http://schemas.microsoft.com/office/spreadsheetml/2009/9/main" objectType="CheckBox" fmlaLink="$L$15" lockText="1"/>
</file>

<file path=xl/ctrlProps/ctrlProp39.xml><?xml version="1.0" encoding="utf-8"?>
<formControlPr xmlns="http://schemas.microsoft.com/office/spreadsheetml/2009/9/main" objectType="CheckBox" fmlaLink="$K$16" lockText="1"/>
</file>

<file path=xl/ctrlProps/ctrlProp4.xml><?xml version="1.0" encoding="utf-8"?>
<formControlPr xmlns="http://schemas.microsoft.com/office/spreadsheetml/2009/9/main" objectType="CheckBox" fmlaLink="$V$18" lockText="1"/>
</file>

<file path=xl/ctrlProps/ctrlProp40.xml><?xml version="1.0" encoding="utf-8"?>
<formControlPr xmlns="http://schemas.microsoft.com/office/spreadsheetml/2009/9/main" objectType="CheckBox" fmlaLink="$L$16" lockText="1"/>
</file>

<file path=xl/ctrlProps/ctrlProp41.xml><?xml version="1.0" encoding="utf-8"?>
<formControlPr xmlns="http://schemas.microsoft.com/office/spreadsheetml/2009/9/main" objectType="CheckBox" fmlaLink="$K$17" lockText="1"/>
</file>

<file path=xl/ctrlProps/ctrlProp42.xml><?xml version="1.0" encoding="utf-8"?>
<formControlPr xmlns="http://schemas.microsoft.com/office/spreadsheetml/2009/9/main" objectType="CheckBox" fmlaLink="$L$17" lockText="1"/>
</file>

<file path=xl/ctrlProps/ctrlProp43.xml><?xml version="1.0" encoding="utf-8"?>
<formControlPr xmlns="http://schemas.microsoft.com/office/spreadsheetml/2009/9/main" objectType="CheckBox" fmlaLink="$K$18" lockText="1"/>
</file>

<file path=xl/ctrlProps/ctrlProp44.xml><?xml version="1.0" encoding="utf-8"?>
<formControlPr xmlns="http://schemas.microsoft.com/office/spreadsheetml/2009/9/main" objectType="CheckBox" fmlaLink="$L$18" lockText="1"/>
</file>

<file path=xl/ctrlProps/ctrlProp45.xml><?xml version="1.0" encoding="utf-8"?>
<formControlPr xmlns="http://schemas.microsoft.com/office/spreadsheetml/2009/9/main" objectType="CheckBox" fmlaLink="$K$19" lockText="1"/>
</file>

<file path=xl/ctrlProps/ctrlProp46.xml><?xml version="1.0" encoding="utf-8"?>
<formControlPr xmlns="http://schemas.microsoft.com/office/spreadsheetml/2009/9/main" objectType="CheckBox" fmlaLink="$L$19" lockText="1"/>
</file>

<file path=xl/ctrlProps/ctrlProp47.xml><?xml version="1.0" encoding="utf-8"?>
<formControlPr xmlns="http://schemas.microsoft.com/office/spreadsheetml/2009/9/main" objectType="CheckBox" fmlaLink="$K$20" lockText="1"/>
</file>

<file path=xl/ctrlProps/ctrlProp48.xml><?xml version="1.0" encoding="utf-8"?>
<formControlPr xmlns="http://schemas.microsoft.com/office/spreadsheetml/2009/9/main" objectType="CheckBox" fmlaLink="$L$20" lockText="1"/>
</file>

<file path=xl/ctrlProps/ctrlProp49.xml><?xml version="1.0" encoding="utf-8"?>
<formControlPr xmlns="http://schemas.microsoft.com/office/spreadsheetml/2009/9/main" objectType="CheckBox" fmlaLink="$K$21" lockText="1"/>
</file>

<file path=xl/ctrlProps/ctrlProp5.xml><?xml version="1.0" encoding="utf-8"?>
<formControlPr xmlns="http://schemas.microsoft.com/office/spreadsheetml/2009/9/main" objectType="CheckBox" fmlaLink="$U$20" lockText="1"/>
</file>

<file path=xl/ctrlProps/ctrlProp50.xml><?xml version="1.0" encoding="utf-8"?>
<formControlPr xmlns="http://schemas.microsoft.com/office/spreadsheetml/2009/9/main" objectType="CheckBox" fmlaLink="$L$21" lockText="1"/>
</file>

<file path=xl/ctrlProps/ctrlProp51.xml><?xml version="1.0" encoding="utf-8"?>
<formControlPr xmlns="http://schemas.microsoft.com/office/spreadsheetml/2009/9/main" objectType="CheckBox" fmlaLink="$K$5" lockText="1"/>
</file>

<file path=xl/ctrlProps/ctrlProp52.xml><?xml version="1.0" encoding="utf-8"?>
<formControlPr xmlns="http://schemas.microsoft.com/office/spreadsheetml/2009/9/main" objectType="CheckBox" fmlaLink="$L$5" lockText="1"/>
</file>

<file path=xl/ctrlProps/ctrlProp53.xml><?xml version="1.0" encoding="utf-8"?>
<formControlPr xmlns="http://schemas.microsoft.com/office/spreadsheetml/2009/9/main" objectType="CheckBox" fmlaLink="$K$14" lockText="1"/>
</file>

<file path=xl/ctrlProps/ctrlProp54.xml><?xml version="1.0" encoding="utf-8"?>
<formControlPr xmlns="http://schemas.microsoft.com/office/spreadsheetml/2009/9/main" objectType="CheckBox" fmlaLink="$L$14" lockText="1"/>
</file>

<file path=xl/ctrlProps/ctrlProp55.xml><?xml version="1.0" encoding="utf-8"?>
<formControlPr xmlns="http://schemas.microsoft.com/office/spreadsheetml/2009/9/main" objectType="CheckBox" fmlaLink="$K$22" lockText="1"/>
</file>

<file path=xl/ctrlProps/ctrlProp56.xml><?xml version="1.0" encoding="utf-8"?>
<formControlPr xmlns="http://schemas.microsoft.com/office/spreadsheetml/2009/9/main" objectType="CheckBox" fmlaLink="$L$22" lockText="1"/>
</file>

<file path=xl/ctrlProps/ctrlProp6.xml><?xml version="1.0" encoding="utf-8"?>
<formControlPr xmlns="http://schemas.microsoft.com/office/spreadsheetml/2009/9/main" objectType="CheckBox" fmlaLink="$U$21" lockText="1"/>
</file>

<file path=xl/ctrlProps/ctrlProp7.xml><?xml version="1.0" encoding="utf-8"?>
<formControlPr xmlns="http://schemas.microsoft.com/office/spreadsheetml/2009/9/main" objectType="CheckBox" fmlaLink="$U$22" lockText="1"/>
</file>

<file path=xl/ctrlProps/ctrlProp8.xml><?xml version="1.0" encoding="utf-8"?>
<formControlPr xmlns="http://schemas.microsoft.com/office/spreadsheetml/2009/9/main" objectType="CheckBox" fmlaLink="$U$23" lockText="1"/>
</file>

<file path=xl/ctrlProps/ctrlProp9.xml><?xml version="1.0" encoding="utf-8"?>
<formControlPr xmlns="http://schemas.microsoft.com/office/spreadsheetml/2009/9/main" objectType="CheckBox" fmlaLink="$U$25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</xdr:row>
          <xdr:rowOff>38100</xdr:rowOff>
        </xdr:from>
        <xdr:to>
          <xdr:col>1</xdr:col>
          <xdr:colOff>400050</xdr:colOff>
          <xdr:row>2</xdr:row>
          <xdr:rowOff>304800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57150</xdr:colOff>
          <xdr:row>3</xdr:row>
          <xdr:rowOff>38100</xdr:rowOff>
        </xdr:from>
        <xdr:to>
          <xdr:col>1</xdr:col>
          <xdr:colOff>419100</xdr:colOff>
          <xdr:row>3</xdr:row>
          <xdr:rowOff>314325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10</xdr:row>
          <xdr:rowOff>57150</xdr:rowOff>
        </xdr:from>
        <xdr:to>
          <xdr:col>6</xdr:col>
          <xdr:colOff>371475</xdr:colOff>
          <xdr:row>10</xdr:row>
          <xdr:rowOff>304800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10</xdr:row>
          <xdr:rowOff>47625</xdr:rowOff>
        </xdr:from>
        <xdr:to>
          <xdr:col>9</xdr:col>
          <xdr:colOff>0</xdr:colOff>
          <xdr:row>10</xdr:row>
          <xdr:rowOff>323850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19</xdr:row>
          <xdr:rowOff>57150</xdr:rowOff>
        </xdr:from>
        <xdr:to>
          <xdr:col>5</xdr:col>
          <xdr:colOff>333375</xdr:colOff>
          <xdr:row>19</xdr:row>
          <xdr:rowOff>304800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20</xdr:row>
          <xdr:rowOff>28575</xdr:rowOff>
        </xdr:from>
        <xdr:to>
          <xdr:col>5</xdr:col>
          <xdr:colOff>333375</xdr:colOff>
          <xdr:row>20</xdr:row>
          <xdr:rowOff>285750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21</xdr:row>
          <xdr:rowOff>47625</xdr:rowOff>
        </xdr:from>
        <xdr:to>
          <xdr:col>5</xdr:col>
          <xdr:colOff>333375</xdr:colOff>
          <xdr:row>21</xdr:row>
          <xdr:rowOff>295275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22</xdr:row>
          <xdr:rowOff>57150</xdr:rowOff>
        </xdr:from>
        <xdr:to>
          <xdr:col>5</xdr:col>
          <xdr:colOff>333375</xdr:colOff>
          <xdr:row>22</xdr:row>
          <xdr:rowOff>304800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24</xdr:row>
          <xdr:rowOff>66675</xdr:rowOff>
        </xdr:from>
        <xdr:to>
          <xdr:col>5</xdr:col>
          <xdr:colOff>323850</xdr:colOff>
          <xdr:row>24</xdr:row>
          <xdr:rowOff>314325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23</xdr:row>
          <xdr:rowOff>76200</xdr:rowOff>
        </xdr:from>
        <xdr:to>
          <xdr:col>5</xdr:col>
          <xdr:colOff>323850</xdr:colOff>
          <xdr:row>23</xdr:row>
          <xdr:rowOff>304800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19</xdr:row>
          <xdr:rowOff>66675</xdr:rowOff>
        </xdr:from>
        <xdr:to>
          <xdr:col>9</xdr:col>
          <xdr:colOff>9525</xdr:colOff>
          <xdr:row>19</xdr:row>
          <xdr:rowOff>314325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20</xdr:row>
          <xdr:rowOff>57150</xdr:rowOff>
        </xdr:from>
        <xdr:to>
          <xdr:col>8</xdr:col>
          <xdr:colOff>361950</xdr:colOff>
          <xdr:row>20</xdr:row>
          <xdr:rowOff>304800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21</xdr:row>
          <xdr:rowOff>57150</xdr:rowOff>
        </xdr:from>
        <xdr:to>
          <xdr:col>8</xdr:col>
          <xdr:colOff>361950</xdr:colOff>
          <xdr:row>21</xdr:row>
          <xdr:rowOff>304800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47625</xdr:rowOff>
        </xdr:from>
        <xdr:to>
          <xdr:col>8</xdr:col>
          <xdr:colOff>361950</xdr:colOff>
          <xdr:row>22</xdr:row>
          <xdr:rowOff>304800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666750</xdr:colOff>
          <xdr:row>22</xdr:row>
          <xdr:rowOff>342900</xdr:rowOff>
        </xdr:from>
        <xdr:to>
          <xdr:col>8</xdr:col>
          <xdr:colOff>361950</xdr:colOff>
          <xdr:row>24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676275</xdr:colOff>
          <xdr:row>24</xdr:row>
          <xdr:rowOff>66675</xdr:rowOff>
        </xdr:from>
        <xdr:to>
          <xdr:col>9</xdr:col>
          <xdr:colOff>0</xdr:colOff>
          <xdr:row>24</xdr:row>
          <xdr:rowOff>314325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3</xdr:row>
          <xdr:rowOff>47625</xdr:rowOff>
        </xdr:from>
        <xdr:to>
          <xdr:col>7</xdr:col>
          <xdr:colOff>285750</xdr:colOff>
          <xdr:row>3</xdr:row>
          <xdr:rowOff>295275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중소기업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323850</xdr:colOff>
          <xdr:row>3</xdr:row>
          <xdr:rowOff>47625</xdr:rowOff>
        </xdr:from>
        <xdr:to>
          <xdr:col>8</xdr:col>
          <xdr:colOff>333375</xdr:colOff>
          <xdr:row>3</xdr:row>
          <xdr:rowOff>295275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중견기업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3</xdr:row>
          <xdr:rowOff>47625</xdr:rowOff>
        </xdr:from>
        <xdr:to>
          <xdr:col>11</xdr:col>
          <xdr:colOff>47625</xdr:colOff>
          <xdr:row>3</xdr:row>
          <xdr:rowOff>295275</xdr:rowOff>
        </xdr:to>
        <xdr:sp macro="" textlink="">
          <xdr:nvSpPr>
            <xdr:cNvPr id="1052" name="Option Butto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대기업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3</xdr:row>
          <xdr:rowOff>47625</xdr:rowOff>
        </xdr:from>
        <xdr:to>
          <xdr:col>13</xdr:col>
          <xdr:colOff>400050</xdr:colOff>
          <xdr:row>3</xdr:row>
          <xdr:rowOff>295275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Malgun Gothic"/>
                  <a:ea typeface="Malgun Gothic"/>
                </a:rPr>
                <a:t>공공기관, 학교, 병원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9525</xdr:rowOff>
        </xdr:from>
        <xdr:to>
          <xdr:col>4</xdr:col>
          <xdr:colOff>466725</xdr:colOff>
          <xdr:row>5</xdr:row>
          <xdr:rowOff>419100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6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5</xdr:row>
          <xdr:rowOff>9525</xdr:rowOff>
        </xdr:from>
        <xdr:to>
          <xdr:col>5</xdr:col>
          <xdr:colOff>438150</xdr:colOff>
          <xdr:row>5</xdr:row>
          <xdr:rowOff>419100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6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9525</xdr:rowOff>
        </xdr:from>
        <xdr:to>
          <xdr:col>4</xdr:col>
          <xdr:colOff>466725</xdr:colOff>
          <xdr:row>6</xdr:row>
          <xdr:rowOff>419100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6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6</xdr:row>
          <xdr:rowOff>9525</xdr:rowOff>
        </xdr:from>
        <xdr:to>
          <xdr:col>5</xdr:col>
          <xdr:colOff>438150</xdr:colOff>
          <xdr:row>6</xdr:row>
          <xdr:rowOff>419100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6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9525</xdr:rowOff>
        </xdr:from>
        <xdr:to>
          <xdr:col>4</xdr:col>
          <xdr:colOff>466725</xdr:colOff>
          <xdr:row>7</xdr:row>
          <xdr:rowOff>419100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6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7</xdr:row>
          <xdr:rowOff>19050</xdr:rowOff>
        </xdr:from>
        <xdr:to>
          <xdr:col>5</xdr:col>
          <xdr:colOff>438150</xdr:colOff>
          <xdr:row>7</xdr:row>
          <xdr:rowOff>428625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6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8</xdr:row>
          <xdr:rowOff>9525</xdr:rowOff>
        </xdr:from>
        <xdr:to>
          <xdr:col>4</xdr:col>
          <xdr:colOff>466725</xdr:colOff>
          <xdr:row>8</xdr:row>
          <xdr:rowOff>419100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6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8</xdr:row>
          <xdr:rowOff>9525</xdr:rowOff>
        </xdr:from>
        <xdr:to>
          <xdr:col>5</xdr:col>
          <xdr:colOff>438150</xdr:colOff>
          <xdr:row>8</xdr:row>
          <xdr:rowOff>419100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  <a:ext uri="{FF2B5EF4-FFF2-40B4-BE49-F238E27FC236}">
                  <a16:creationId xmlns:a16="http://schemas.microsoft.com/office/drawing/2014/main" id="{00000000-0008-0000-0600-00000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9</xdr:row>
          <xdr:rowOff>9525</xdr:rowOff>
        </xdr:from>
        <xdr:to>
          <xdr:col>4</xdr:col>
          <xdr:colOff>466725</xdr:colOff>
          <xdr:row>9</xdr:row>
          <xdr:rowOff>419100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  <a:ext uri="{FF2B5EF4-FFF2-40B4-BE49-F238E27FC236}">
                  <a16:creationId xmlns:a16="http://schemas.microsoft.com/office/drawing/2014/main" id="{00000000-0008-0000-0600-00000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9</xdr:row>
          <xdr:rowOff>9525</xdr:rowOff>
        </xdr:from>
        <xdr:to>
          <xdr:col>5</xdr:col>
          <xdr:colOff>438150</xdr:colOff>
          <xdr:row>9</xdr:row>
          <xdr:rowOff>419100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6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10</xdr:row>
          <xdr:rowOff>9525</xdr:rowOff>
        </xdr:from>
        <xdr:to>
          <xdr:col>4</xdr:col>
          <xdr:colOff>457200</xdr:colOff>
          <xdr:row>10</xdr:row>
          <xdr:rowOff>419100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6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10</xdr:row>
          <xdr:rowOff>9525</xdr:rowOff>
        </xdr:from>
        <xdr:to>
          <xdr:col>5</xdr:col>
          <xdr:colOff>438150</xdr:colOff>
          <xdr:row>10</xdr:row>
          <xdr:rowOff>419100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6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11</xdr:row>
          <xdr:rowOff>9525</xdr:rowOff>
        </xdr:from>
        <xdr:to>
          <xdr:col>4</xdr:col>
          <xdr:colOff>466725</xdr:colOff>
          <xdr:row>11</xdr:row>
          <xdr:rowOff>419100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6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11</xdr:row>
          <xdr:rowOff>9525</xdr:rowOff>
        </xdr:from>
        <xdr:to>
          <xdr:col>5</xdr:col>
          <xdr:colOff>438150</xdr:colOff>
          <xdr:row>11</xdr:row>
          <xdr:rowOff>419100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6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12</xdr:row>
          <xdr:rowOff>9525</xdr:rowOff>
        </xdr:from>
        <xdr:to>
          <xdr:col>4</xdr:col>
          <xdr:colOff>466725</xdr:colOff>
          <xdr:row>12</xdr:row>
          <xdr:rowOff>419100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6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12</xdr:row>
          <xdr:rowOff>9525</xdr:rowOff>
        </xdr:from>
        <xdr:to>
          <xdr:col>5</xdr:col>
          <xdr:colOff>438150</xdr:colOff>
          <xdr:row>12</xdr:row>
          <xdr:rowOff>419100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6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14</xdr:row>
          <xdr:rowOff>9525</xdr:rowOff>
        </xdr:from>
        <xdr:to>
          <xdr:col>4</xdr:col>
          <xdr:colOff>466725</xdr:colOff>
          <xdr:row>14</xdr:row>
          <xdr:rowOff>419100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6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14</xdr:row>
          <xdr:rowOff>9525</xdr:rowOff>
        </xdr:from>
        <xdr:to>
          <xdr:col>5</xdr:col>
          <xdr:colOff>438150</xdr:colOff>
          <xdr:row>14</xdr:row>
          <xdr:rowOff>419100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6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15</xdr:row>
          <xdr:rowOff>9525</xdr:rowOff>
        </xdr:from>
        <xdr:to>
          <xdr:col>4</xdr:col>
          <xdr:colOff>466725</xdr:colOff>
          <xdr:row>15</xdr:row>
          <xdr:rowOff>419100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6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15</xdr:row>
          <xdr:rowOff>9525</xdr:rowOff>
        </xdr:from>
        <xdr:to>
          <xdr:col>5</xdr:col>
          <xdr:colOff>438150</xdr:colOff>
          <xdr:row>15</xdr:row>
          <xdr:rowOff>419100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6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16</xdr:row>
          <xdr:rowOff>9525</xdr:rowOff>
        </xdr:from>
        <xdr:to>
          <xdr:col>4</xdr:col>
          <xdr:colOff>466725</xdr:colOff>
          <xdr:row>16</xdr:row>
          <xdr:rowOff>419100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6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16</xdr:row>
          <xdr:rowOff>9525</xdr:rowOff>
        </xdr:from>
        <xdr:to>
          <xdr:col>5</xdr:col>
          <xdr:colOff>438150</xdr:colOff>
          <xdr:row>16</xdr:row>
          <xdr:rowOff>419100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6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17</xdr:row>
          <xdr:rowOff>9525</xdr:rowOff>
        </xdr:from>
        <xdr:to>
          <xdr:col>4</xdr:col>
          <xdr:colOff>466725</xdr:colOff>
          <xdr:row>17</xdr:row>
          <xdr:rowOff>419100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6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17</xdr:row>
          <xdr:rowOff>9525</xdr:rowOff>
        </xdr:from>
        <xdr:to>
          <xdr:col>5</xdr:col>
          <xdr:colOff>438150</xdr:colOff>
          <xdr:row>17</xdr:row>
          <xdr:rowOff>419100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6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18</xdr:row>
          <xdr:rowOff>9525</xdr:rowOff>
        </xdr:from>
        <xdr:to>
          <xdr:col>4</xdr:col>
          <xdr:colOff>466725</xdr:colOff>
          <xdr:row>18</xdr:row>
          <xdr:rowOff>419100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6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18</xdr:row>
          <xdr:rowOff>9525</xdr:rowOff>
        </xdr:from>
        <xdr:to>
          <xdr:col>5</xdr:col>
          <xdr:colOff>438150</xdr:colOff>
          <xdr:row>18</xdr:row>
          <xdr:rowOff>419100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6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19</xdr:row>
          <xdr:rowOff>9525</xdr:rowOff>
        </xdr:from>
        <xdr:to>
          <xdr:col>4</xdr:col>
          <xdr:colOff>466725</xdr:colOff>
          <xdr:row>19</xdr:row>
          <xdr:rowOff>419100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6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19</xdr:row>
          <xdr:rowOff>9525</xdr:rowOff>
        </xdr:from>
        <xdr:to>
          <xdr:col>5</xdr:col>
          <xdr:colOff>438150</xdr:colOff>
          <xdr:row>19</xdr:row>
          <xdr:rowOff>419100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  <a:ext uri="{FF2B5EF4-FFF2-40B4-BE49-F238E27FC236}">
                  <a16:creationId xmlns:a16="http://schemas.microsoft.com/office/drawing/2014/main" id="{00000000-0008-0000-0600-00002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20</xdr:row>
          <xdr:rowOff>9525</xdr:rowOff>
        </xdr:from>
        <xdr:to>
          <xdr:col>4</xdr:col>
          <xdr:colOff>466725</xdr:colOff>
          <xdr:row>20</xdr:row>
          <xdr:rowOff>419100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  <a:ext uri="{FF2B5EF4-FFF2-40B4-BE49-F238E27FC236}">
                  <a16:creationId xmlns:a16="http://schemas.microsoft.com/office/drawing/2014/main" id="{00000000-0008-0000-0600-00002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20</xdr:row>
          <xdr:rowOff>9525</xdr:rowOff>
        </xdr:from>
        <xdr:to>
          <xdr:col>5</xdr:col>
          <xdr:colOff>438150</xdr:colOff>
          <xdr:row>20</xdr:row>
          <xdr:rowOff>419100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  <a:ext uri="{FF2B5EF4-FFF2-40B4-BE49-F238E27FC236}">
                  <a16:creationId xmlns:a16="http://schemas.microsoft.com/office/drawing/2014/main" id="{00000000-0008-0000-0600-00002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28575</xdr:rowOff>
        </xdr:from>
        <xdr:to>
          <xdr:col>4</xdr:col>
          <xdr:colOff>466725</xdr:colOff>
          <xdr:row>4</xdr:row>
          <xdr:rowOff>438150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  <a:ext uri="{FF2B5EF4-FFF2-40B4-BE49-F238E27FC236}">
                  <a16:creationId xmlns:a16="http://schemas.microsoft.com/office/drawing/2014/main" id="{00000000-0008-0000-0600-00002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4</xdr:row>
          <xdr:rowOff>9525</xdr:rowOff>
        </xdr:from>
        <xdr:to>
          <xdr:col>5</xdr:col>
          <xdr:colOff>428625</xdr:colOff>
          <xdr:row>4</xdr:row>
          <xdr:rowOff>419100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  <a:ext uri="{FF2B5EF4-FFF2-40B4-BE49-F238E27FC236}">
                  <a16:creationId xmlns:a16="http://schemas.microsoft.com/office/drawing/2014/main" id="{00000000-0008-0000-0600-00002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13</xdr:row>
          <xdr:rowOff>9525</xdr:rowOff>
        </xdr:from>
        <xdr:to>
          <xdr:col>4</xdr:col>
          <xdr:colOff>466725</xdr:colOff>
          <xdr:row>13</xdr:row>
          <xdr:rowOff>419100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  <a:ext uri="{FF2B5EF4-FFF2-40B4-BE49-F238E27FC236}">
                  <a16:creationId xmlns:a16="http://schemas.microsoft.com/office/drawing/2014/main" id="{00000000-0008-0000-0600-00002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13</xdr:row>
          <xdr:rowOff>9525</xdr:rowOff>
        </xdr:from>
        <xdr:to>
          <xdr:col>5</xdr:col>
          <xdr:colOff>438150</xdr:colOff>
          <xdr:row>13</xdr:row>
          <xdr:rowOff>419100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  <a:ext uri="{FF2B5EF4-FFF2-40B4-BE49-F238E27FC236}">
                  <a16:creationId xmlns:a16="http://schemas.microsoft.com/office/drawing/2014/main" id="{00000000-0008-0000-0600-00002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21</xdr:row>
          <xdr:rowOff>9525</xdr:rowOff>
        </xdr:from>
        <xdr:to>
          <xdr:col>4</xdr:col>
          <xdr:colOff>466725</xdr:colOff>
          <xdr:row>21</xdr:row>
          <xdr:rowOff>419100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  <a:ext uri="{FF2B5EF4-FFF2-40B4-BE49-F238E27FC236}">
                  <a16:creationId xmlns:a16="http://schemas.microsoft.com/office/drawing/2014/main" id="{00000000-0008-0000-0600-00002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171450</xdr:colOff>
          <xdr:row>21</xdr:row>
          <xdr:rowOff>9525</xdr:rowOff>
        </xdr:from>
        <xdr:to>
          <xdr:col>5</xdr:col>
          <xdr:colOff>438150</xdr:colOff>
          <xdr:row>21</xdr:row>
          <xdr:rowOff>419100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  <a:ext uri="{FF2B5EF4-FFF2-40B4-BE49-F238E27FC236}">
                  <a16:creationId xmlns:a16="http://schemas.microsoft.com/office/drawing/2014/main" id="{00000000-0008-0000-0600-00002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44305;&#51452;&#49884;\&#44305;&#51452;&#44305;&#50669;&#49884;%20&#53685;&#54633;TOOL(2007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INSENSE/AppData/Local/Temp/&#48120;&#47000;&#50644;&#51064;&#52380;/02.&#51064;&#48292;&#53664;&#47532;%20&#44396;&#52629;/&#48120;&#47000;&#51064;&#52380;&#48176;&#52636;&#47049;&#49328;&#51221;_V5.0_121123(F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2doc365.sharepoint.com/Users/Administrator/AppData/Local/Microsoft/Windows/Temporary%20Internet%20Files/Content.IE5/7GNZ0XK6/Users/hp/Documents/&#45348;&#51060;&#53944;&#50728;%20&#48155;&#51008;%20&#54028;&#51068;/&#50640;&#53076;&#49468;&#49828;/&#44368;&#50977;%20&#51088;&#47308;/&#52968;&#49444;&#54021;&#54801;&#54924;%20&#44368;&#50977;&#51088;&#47308;/1.&#54224;&#44592;&#47932;&#48516;&#50556;_&#48176;&#52636;&#47049;&#49328;&#51221;Tool(20110413)_&#51648;&#52840;&#44256;&#498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-NAS\carbon_neutral\&#50672;&#44396;&#44284;&#51228;\&#47749;&#49464;&#49436;&#51089;&#49457;&#51648;&#50896;\&#47785;&#54364;&#44288;&#47532;&#51228;\&#48176;&#54252;&#50857;_&#54224;&#44592;&#47932;&#48516;&#50556;_&#48176;&#52636;&#47049;&#49328;&#51221;Tool(20110413)_&#51648;&#52840;&#44256;&#498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광주광역시"/>
      <sheetName val="Parameter"/>
      <sheetName val="총괄"/>
      <sheetName val="총괄 (2)"/>
      <sheetName val="배출시설"/>
      <sheetName val="가.고정연소"/>
      <sheetName val="나.이동연소"/>
      <sheetName val="다.전력"/>
      <sheetName val="라.매립(광역)"/>
      <sheetName val="라.매립(동구)"/>
      <sheetName val="마.생물학적처리"/>
      <sheetName val="바.소각(생활폐기물)"/>
      <sheetName val="사.하수"/>
      <sheetName val="아.폐수"/>
      <sheetName val="자.바이오매스"/>
      <sheetName val="차.스팀"/>
      <sheetName val="Sheet2"/>
      <sheetName val="지원설비목록"/>
      <sheetName val="&lt;참고1&gt;배출량,감축량 산정"/>
      <sheetName val="&lt;산정tool&gt;배출량,감축량"/>
      <sheetName val="2.대외공문"/>
      <sheetName val="총괄_(2)"/>
      <sheetName val="가_고정연소"/>
      <sheetName val="나_이동연소"/>
      <sheetName val="다_전력"/>
      <sheetName val="라_매립(광역)"/>
      <sheetName val="라_매립(동구)"/>
      <sheetName val="마_생물학적처리"/>
      <sheetName val="바_소각(생활폐기물)"/>
      <sheetName val="사_하수"/>
      <sheetName val="아_폐수"/>
      <sheetName val="자_바이오매스"/>
      <sheetName val="차_스팀"/>
      <sheetName val="업종목록"/>
      <sheetName val="2.지원설비 목록"/>
    </sheetNames>
    <sheetDataSet>
      <sheetData sheetId="0"/>
      <sheetData sheetId="1">
        <row r="6">
          <cell r="P6" t="str">
            <v>원유</v>
          </cell>
          <cell r="Q6" t="str">
            <v>㎏</v>
          </cell>
          <cell r="R6" t="str">
            <v>liquid</v>
          </cell>
          <cell r="S6">
            <v>10100</v>
          </cell>
          <cell r="T6">
            <v>42.3</v>
          </cell>
          <cell r="U6">
            <v>1.01</v>
          </cell>
          <cell r="V6" t="str">
            <v>원유</v>
          </cell>
          <cell r="W6" t="str">
            <v>TJ/Gg</v>
          </cell>
          <cell r="X6">
            <v>45</v>
          </cell>
          <cell r="Y6">
            <v>42.3</v>
          </cell>
          <cell r="Z6">
            <v>73300</v>
          </cell>
          <cell r="AA6">
            <v>3</v>
          </cell>
          <cell r="AB6">
            <v>3</v>
          </cell>
          <cell r="AC6">
            <v>10</v>
          </cell>
          <cell r="AD6">
            <v>10</v>
          </cell>
          <cell r="AE6">
            <v>0.6</v>
          </cell>
          <cell r="AF6">
            <v>0.6</v>
          </cell>
        </row>
        <row r="7">
          <cell r="P7" t="str">
            <v>휘발유</v>
          </cell>
          <cell r="Q7" t="str">
            <v>ℓ</v>
          </cell>
          <cell r="R7" t="str">
            <v>liquid</v>
          </cell>
          <cell r="S7">
            <v>7400</v>
          </cell>
          <cell r="T7">
            <v>31</v>
          </cell>
          <cell r="U7">
            <v>0.74</v>
          </cell>
          <cell r="V7" t="str">
            <v>자동차용가솔린</v>
          </cell>
          <cell r="W7" t="str">
            <v>TJ/1000㎥</v>
          </cell>
          <cell r="X7">
            <v>33.5</v>
          </cell>
          <cell r="Y7">
            <v>31</v>
          </cell>
          <cell r="Z7">
            <v>69300</v>
          </cell>
          <cell r="AA7">
            <v>3</v>
          </cell>
          <cell r="AB7">
            <v>3</v>
          </cell>
          <cell r="AC7">
            <v>10</v>
          </cell>
          <cell r="AD7">
            <v>10</v>
          </cell>
          <cell r="AE7">
            <v>0.6</v>
          </cell>
          <cell r="AF7">
            <v>0.6</v>
          </cell>
        </row>
        <row r="8">
          <cell r="P8" t="str">
            <v>실내등유</v>
          </cell>
          <cell r="Q8" t="str">
            <v>ℓ</v>
          </cell>
          <cell r="R8" t="str">
            <v>liquid</v>
          </cell>
          <cell r="S8">
            <v>8200</v>
          </cell>
          <cell r="T8">
            <v>34.299999999999997</v>
          </cell>
          <cell r="U8">
            <v>0.82</v>
          </cell>
          <cell r="V8" t="str">
            <v>기타등유</v>
          </cell>
          <cell r="W8" t="str">
            <v>TJ/1000㎥</v>
          </cell>
          <cell r="X8">
            <v>36.799999999999997</v>
          </cell>
          <cell r="Y8">
            <v>34.299999999999997</v>
          </cell>
          <cell r="Z8">
            <v>71900</v>
          </cell>
          <cell r="AA8">
            <v>3</v>
          </cell>
          <cell r="AB8">
            <v>3</v>
          </cell>
          <cell r="AC8">
            <v>10</v>
          </cell>
          <cell r="AD8">
            <v>10</v>
          </cell>
          <cell r="AE8">
            <v>0.6</v>
          </cell>
          <cell r="AF8">
            <v>0.6</v>
          </cell>
        </row>
        <row r="9">
          <cell r="P9" t="str">
            <v>보일러등유</v>
          </cell>
          <cell r="Q9" t="str">
            <v>ℓ</v>
          </cell>
          <cell r="R9" t="str">
            <v>liquid</v>
          </cell>
          <cell r="S9">
            <v>8350</v>
          </cell>
          <cell r="T9">
            <v>35</v>
          </cell>
          <cell r="U9">
            <v>0.83499999999999996</v>
          </cell>
          <cell r="V9" t="str">
            <v>기타등유</v>
          </cell>
          <cell r="W9" t="str">
            <v>TJ/1000㎥</v>
          </cell>
          <cell r="X9">
            <v>37.5</v>
          </cell>
          <cell r="Y9">
            <v>35</v>
          </cell>
          <cell r="Z9">
            <v>71900</v>
          </cell>
          <cell r="AA9">
            <v>3</v>
          </cell>
          <cell r="AB9">
            <v>3</v>
          </cell>
          <cell r="AC9">
            <v>10</v>
          </cell>
          <cell r="AD9">
            <v>10</v>
          </cell>
          <cell r="AE9">
            <v>0.6</v>
          </cell>
          <cell r="AF9">
            <v>0.6</v>
          </cell>
        </row>
        <row r="10">
          <cell r="P10" t="str">
            <v>경유</v>
          </cell>
          <cell r="Q10" t="str">
            <v>ℓ</v>
          </cell>
          <cell r="R10" t="str">
            <v>liquid</v>
          </cell>
          <cell r="S10">
            <v>8450</v>
          </cell>
          <cell r="T10">
            <v>35.4</v>
          </cell>
          <cell r="U10">
            <v>0.84499999999999997</v>
          </cell>
          <cell r="V10" t="str">
            <v>가스/디젤오일</v>
          </cell>
          <cell r="W10" t="str">
            <v>TJ/1000㎥</v>
          </cell>
          <cell r="X10">
            <v>37.9</v>
          </cell>
          <cell r="Y10">
            <v>35.4</v>
          </cell>
          <cell r="Z10">
            <v>74100</v>
          </cell>
          <cell r="AA10">
            <v>3</v>
          </cell>
          <cell r="AB10">
            <v>3</v>
          </cell>
          <cell r="AC10">
            <v>10</v>
          </cell>
          <cell r="AD10">
            <v>10</v>
          </cell>
          <cell r="AE10">
            <v>0.6</v>
          </cell>
          <cell r="AF10">
            <v>0.6</v>
          </cell>
        </row>
        <row r="11">
          <cell r="P11" t="str">
            <v>B - A유</v>
          </cell>
          <cell r="Q11" t="str">
            <v>ℓ</v>
          </cell>
          <cell r="R11" t="str">
            <v>liquid</v>
          </cell>
          <cell r="S11">
            <v>8750</v>
          </cell>
          <cell r="T11">
            <v>36.6</v>
          </cell>
          <cell r="U11">
            <v>0.875</v>
          </cell>
          <cell r="V11" t="str">
            <v>가스/디젤오일</v>
          </cell>
          <cell r="W11" t="str">
            <v>TJ/1000㎥</v>
          </cell>
          <cell r="X11">
            <v>38.9</v>
          </cell>
          <cell r="Y11">
            <v>36.6</v>
          </cell>
          <cell r="Z11">
            <v>74100</v>
          </cell>
          <cell r="AA11">
            <v>3</v>
          </cell>
          <cell r="AB11">
            <v>3</v>
          </cell>
          <cell r="AC11">
            <v>10</v>
          </cell>
          <cell r="AD11">
            <v>10</v>
          </cell>
          <cell r="AE11">
            <v>0.6</v>
          </cell>
          <cell r="AF11">
            <v>0.6</v>
          </cell>
        </row>
        <row r="12">
          <cell r="P12" t="str">
            <v>B - B유</v>
          </cell>
          <cell r="Q12" t="str">
            <v>ℓ</v>
          </cell>
          <cell r="R12" t="str">
            <v>liquid</v>
          </cell>
          <cell r="S12">
            <v>9100</v>
          </cell>
          <cell r="T12">
            <v>38.1</v>
          </cell>
          <cell r="U12">
            <v>0.91</v>
          </cell>
          <cell r="V12" t="str">
            <v>잔여연료유</v>
          </cell>
          <cell r="W12" t="str">
            <v>TJ/1000㎥</v>
          </cell>
          <cell r="X12">
            <v>40.4</v>
          </cell>
          <cell r="Y12">
            <v>38.1</v>
          </cell>
          <cell r="Z12">
            <v>77400</v>
          </cell>
          <cell r="AA12">
            <v>3</v>
          </cell>
          <cell r="AB12">
            <v>3</v>
          </cell>
          <cell r="AC12">
            <v>10</v>
          </cell>
          <cell r="AD12">
            <v>10</v>
          </cell>
          <cell r="AE12">
            <v>0.6</v>
          </cell>
          <cell r="AF12">
            <v>0.6</v>
          </cell>
        </row>
        <row r="13">
          <cell r="P13" t="str">
            <v>B - C유</v>
          </cell>
          <cell r="Q13" t="str">
            <v>ℓ</v>
          </cell>
          <cell r="R13" t="str">
            <v>liquid</v>
          </cell>
          <cell r="S13">
            <v>9350</v>
          </cell>
          <cell r="T13">
            <v>39.1</v>
          </cell>
          <cell r="U13">
            <v>0.93500000000000005</v>
          </cell>
          <cell r="V13" t="str">
            <v>잔여연료유</v>
          </cell>
          <cell r="W13" t="str">
            <v>TJ/1000㎥</v>
          </cell>
          <cell r="X13">
            <v>41.4</v>
          </cell>
          <cell r="Y13">
            <v>39.1</v>
          </cell>
          <cell r="Z13">
            <v>77400</v>
          </cell>
          <cell r="AA13">
            <v>3</v>
          </cell>
          <cell r="AB13">
            <v>3</v>
          </cell>
          <cell r="AC13">
            <v>10</v>
          </cell>
          <cell r="AD13">
            <v>10</v>
          </cell>
          <cell r="AE13">
            <v>0.6</v>
          </cell>
          <cell r="AF13">
            <v>0.6</v>
          </cell>
        </row>
        <row r="14">
          <cell r="P14" t="str">
            <v>프로판</v>
          </cell>
          <cell r="Q14" t="str">
            <v>㎏</v>
          </cell>
          <cell r="R14" t="str">
            <v>liquid</v>
          </cell>
          <cell r="S14">
            <v>11050</v>
          </cell>
          <cell r="T14">
            <v>46.3</v>
          </cell>
          <cell r="U14">
            <v>1.105</v>
          </cell>
          <cell r="V14">
            <v>0</v>
          </cell>
          <cell r="W14" t="str">
            <v>TJ/Gg</v>
          </cell>
          <cell r="X14">
            <v>50.4</v>
          </cell>
          <cell r="Y14">
            <v>46.3</v>
          </cell>
          <cell r="Z14">
            <v>64533</v>
          </cell>
          <cell r="AA14">
            <v>0</v>
          </cell>
          <cell r="AB14">
            <v>0</v>
          </cell>
          <cell r="AC14">
            <v>5</v>
          </cell>
          <cell r="AD14">
            <v>0</v>
          </cell>
          <cell r="AE14">
            <v>0</v>
          </cell>
          <cell r="AF14">
            <v>0.1</v>
          </cell>
        </row>
        <row r="15">
          <cell r="P15" t="str">
            <v>부탄</v>
          </cell>
          <cell r="Q15" t="str">
            <v>㎏</v>
          </cell>
          <cell r="R15" t="str">
            <v>liquid</v>
          </cell>
          <cell r="S15">
            <v>10900</v>
          </cell>
          <cell r="T15">
            <v>45.7</v>
          </cell>
          <cell r="U15">
            <v>1.0900000000000001</v>
          </cell>
          <cell r="V15">
            <v>0</v>
          </cell>
          <cell r="W15" t="str">
            <v>TJ/Gg</v>
          </cell>
          <cell r="X15">
            <v>49.6</v>
          </cell>
          <cell r="Y15">
            <v>45.7</v>
          </cell>
          <cell r="Z15">
            <v>66366</v>
          </cell>
          <cell r="AA15">
            <v>0</v>
          </cell>
          <cell r="AB15">
            <v>0</v>
          </cell>
          <cell r="AC15">
            <v>5</v>
          </cell>
          <cell r="AD15">
            <v>0</v>
          </cell>
          <cell r="AE15">
            <v>0</v>
          </cell>
          <cell r="AF15">
            <v>0.1</v>
          </cell>
        </row>
        <row r="16">
          <cell r="P16" t="str">
            <v>나프타</v>
          </cell>
          <cell r="Q16" t="str">
            <v>ℓ</v>
          </cell>
          <cell r="R16" t="str">
            <v>liquid</v>
          </cell>
          <cell r="S16">
            <v>7450</v>
          </cell>
          <cell r="T16">
            <v>31.2</v>
          </cell>
          <cell r="U16">
            <v>0.745</v>
          </cell>
          <cell r="V16" t="str">
            <v>나프타</v>
          </cell>
          <cell r="W16" t="str">
            <v>TJ/1000㎥</v>
          </cell>
          <cell r="X16">
            <v>33.700000000000003</v>
          </cell>
          <cell r="Y16">
            <v>31.2</v>
          </cell>
          <cell r="Z16">
            <v>73300</v>
          </cell>
          <cell r="AA16">
            <v>3</v>
          </cell>
          <cell r="AB16">
            <v>3</v>
          </cell>
          <cell r="AC16">
            <v>10</v>
          </cell>
          <cell r="AD16">
            <v>10</v>
          </cell>
          <cell r="AE16">
            <v>0.6</v>
          </cell>
          <cell r="AF16">
            <v>0.6</v>
          </cell>
        </row>
        <row r="17">
          <cell r="P17" t="str">
            <v>용제</v>
          </cell>
          <cell r="Q17" t="str">
            <v>ℓ</v>
          </cell>
          <cell r="R17" t="str">
            <v>liquid</v>
          </cell>
          <cell r="S17">
            <v>7350</v>
          </cell>
          <cell r="T17">
            <v>30.8</v>
          </cell>
          <cell r="U17">
            <v>0.73499999999999999</v>
          </cell>
          <cell r="V17" t="str">
            <v>백유</v>
          </cell>
          <cell r="W17" t="str">
            <v>TJ/1000㎥</v>
          </cell>
          <cell r="X17">
            <v>33.299999999999997</v>
          </cell>
          <cell r="Y17">
            <v>30.8</v>
          </cell>
          <cell r="Z17">
            <v>73300</v>
          </cell>
          <cell r="AA17">
            <v>3</v>
          </cell>
          <cell r="AB17">
            <v>3</v>
          </cell>
          <cell r="AC17">
            <v>10</v>
          </cell>
          <cell r="AD17">
            <v>10</v>
          </cell>
          <cell r="AE17">
            <v>0.6</v>
          </cell>
          <cell r="AF17">
            <v>0.6</v>
          </cell>
        </row>
        <row r="18">
          <cell r="P18" t="str">
            <v>항공유</v>
          </cell>
          <cell r="Q18" t="str">
            <v>ℓ</v>
          </cell>
          <cell r="R18" t="str">
            <v>liquid</v>
          </cell>
          <cell r="S18">
            <v>8200</v>
          </cell>
          <cell r="T18">
            <v>34.299999999999997</v>
          </cell>
          <cell r="U18">
            <v>0.82</v>
          </cell>
          <cell r="V18" t="str">
            <v>항공용가솔린</v>
          </cell>
          <cell r="W18" t="str">
            <v>TJ/1000㎥</v>
          </cell>
          <cell r="X18">
            <v>36.6</v>
          </cell>
          <cell r="Y18">
            <v>34.299999999999997</v>
          </cell>
          <cell r="Z18">
            <v>70000</v>
          </cell>
          <cell r="AA18">
            <v>3</v>
          </cell>
          <cell r="AB18">
            <v>3</v>
          </cell>
          <cell r="AC18">
            <v>10</v>
          </cell>
          <cell r="AD18">
            <v>10</v>
          </cell>
          <cell r="AE18">
            <v>0.6</v>
          </cell>
          <cell r="AF18">
            <v>0.6</v>
          </cell>
        </row>
        <row r="19">
          <cell r="P19" t="str">
            <v>역청(아스팔트)</v>
          </cell>
          <cell r="Q19" t="str">
            <v>㎏</v>
          </cell>
          <cell r="R19" t="str">
            <v>liquid</v>
          </cell>
          <cell r="S19">
            <v>8350</v>
          </cell>
          <cell r="T19">
            <v>39.1</v>
          </cell>
          <cell r="U19">
            <v>0.83499999999999996</v>
          </cell>
          <cell r="V19" t="str">
            <v>아스팔트</v>
          </cell>
          <cell r="W19" t="str">
            <v>TJ/Gg</v>
          </cell>
          <cell r="X19">
            <v>41.4</v>
          </cell>
          <cell r="Y19">
            <v>39.1</v>
          </cell>
          <cell r="Z19">
            <v>80700</v>
          </cell>
          <cell r="AA19">
            <v>3</v>
          </cell>
          <cell r="AB19">
            <v>3</v>
          </cell>
          <cell r="AC19">
            <v>10</v>
          </cell>
          <cell r="AD19">
            <v>10</v>
          </cell>
          <cell r="AE19">
            <v>0.6</v>
          </cell>
          <cell r="AF19">
            <v>0.6</v>
          </cell>
        </row>
        <row r="20">
          <cell r="P20" t="str">
            <v>윤활유</v>
          </cell>
          <cell r="Q20" t="str">
            <v>ℓ</v>
          </cell>
          <cell r="R20" t="str">
            <v>liquid</v>
          </cell>
          <cell r="S20">
            <v>8650</v>
          </cell>
          <cell r="T20">
            <v>36.200000000000003</v>
          </cell>
          <cell r="U20">
            <v>0.86499999999999999</v>
          </cell>
          <cell r="V20" t="str">
            <v>윤활유</v>
          </cell>
          <cell r="W20" t="str">
            <v>TJ/1000㎥</v>
          </cell>
          <cell r="X20">
            <v>38.700000000000003</v>
          </cell>
          <cell r="Y20">
            <v>36.200000000000003</v>
          </cell>
          <cell r="Z20">
            <v>73300</v>
          </cell>
          <cell r="AA20">
            <v>3</v>
          </cell>
          <cell r="AB20">
            <v>3</v>
          </cell>
          <cell r="AC20">
            <v>10</v>
          </cell>
          <cell r="AD20">
            <v>10</v>
          </cell>
          <cell r="AE20">
            <v>0.6</v>
          </cell>
          <cell r="AF20">
            <v>0.6</v>
          </cell>
        </row>
        <row r="21">
          <cell r="P21" t="str">
            <v>석유코크</v>
          </cell>
          <cell r="Q21" t="str">
            <v>㎏</v>
          </cell>
          <cell r="R21" t="str">
            <v>liquid</v>
          </cell>
          <cell r="S21">
            <v>7850</v>
          </cell>
          <cell r="T21">
            <v>32.9</v>
          </cell>
          <cell r="U21">
            <v>0.78500000000000003</v>
          </cell>
          <cell r="V21" t="str">
            <v>석유코크스</v>
          </cell>
          <cell r="W21" t="str">
            <v>TJ/Gg</v>
          </cell>
          <cell r="X21">
            <v>33.9</v>
          </cell>
          <cell r="Y21">
            <v>32.9</v>
          </cell>
          <cell r="Z21">
            <v>97500</v>
          </cell>
          <cell r="AA21">
            <v>3</v>
          </cell>
          <cell r="AB21">
            <v>3</v>
          </cell>
          <cell r="AC21">
            <v>10</v>
          </cell>
          <cell r="AD21">
            <v>10</v>
          </cell>
          <cell r="AE21">
            <v>0.6</v>
          </cell>
          <cell r="AF21">
            <v>0.6</v>
          </cell>
        </row>
        <row r="22">
          <cell r="P22" t="str">
            <v>부생연료1호</v>
          </cell>
          <cell r="Q22" t="str">
            <v>ℓ</v>
          </cell>
          <cell r="R22" t="str">
            <v>liquid</v>
          </cell>
          <cell r="S22">
            <v>8350</v>
          </cell>
          <cell r="T22">
            <v>35</v>
          </cell>
          <cell r="U22">
            <v>0.83499999999999996</v>
          </cell>
          <cell r="V22">
            <v>0</v>
          </cell>
          <cell r="W22" t="str">
            <v>TJ/1000㎥</v>
          </cell>
          <cell r="X22">
            <v>37</v>
          </cell>
          <cell r="Y22">
            <v>35</v>
          </cell>
        </row>
        <row r="23">
          <cell r="P23" t="str">
            <v>부생연료2호</v>
          </cell>
          <cell r="Q23" t="str">
            <v>ℓ</v>
          </cell>
          <cell r="R23" t="str">
            <v>liquid</v>
          </cell>
          <cell r="S23">
            <v>9200</v>
          </cell>
          <cell r="T23">
            <v>38.5</v>
          </cell>
          <cell r="U23">
            <v>0.92</v>
          </cell>
          <cell r="V23">
            <v>0</v>
          </cell>
          <cell r="W23" t="str">
            <v>TJ/1000㎥</v>
          </cell>
          <cell r="X23">
            <v>40.6</v>
          </cell>
          <cell r="Y23">
            <v>38.5</v>
          </cell>
        </row>
        <row r="24">
          <cell r="P24" t="str">
            <v>천연가스(LNG)</v>
          </cell>
          <cell r="Q24" t="str">
            <v>㎏</v>
          </cell>
          <cell r="R24" t="str">
            <v>liquid</v>
          </cell>
          <cell r="S24">
            <v>11750</v>
          </cell>
          <cell r="T24">
            <v>49.2</v>
          </cell>
          <cell r="U24">
            <v>1.175</v>
          </cell>
          <cell r="V24" t="str">
            <v>천연가스</v>
          </cell>
          <cell r="W24" t="str">
            <v>TJ/Gg</v>
          </cell>
          <cell r="X24">
            <v>54.5</v>
          </cell>
          <cell r="Y24">
            <v>49.2</v>
          </cell>
          <cell r="Z24">
            <v>56100</v>
          </cell>
          <cell r="AA24">
            <v>30</v>
          </cell>
          <cell r="AB24">
            <v>1</v>
          </cell>
          <cell r="AC24">
            <v>5</v>
          </cell>
          <cell r="AD24">
            <v>5</v>
          </cell>
          <cell r="AE24">
            <v>0.1</v>
          </cell>
          <cell r="AF24">
            <v>0.1</v>
          </cell>
        </row>
        <row r="25">
          <cell r="P25" t="str">
            <v>도시가스(LNG)</v>
          </cell>
          <cell r="Q25" t="str">
            <v>N㎥</v>
          </cell>
          <cell r="R25" t="str">
            <v>gas</v>
          </cell>
          <cell r="S25">
            <v>9550</v>
          </cell>
          <cell r="T25">
            <v>40</v>
          </cell>
          <cell r="U25">
            <v>0.95499999999999996</v>
          </cell>
          <cell r="V25" t="str">
            <v>천연가스</v>
          </cell>
          <cell r="W25" t="str">
            <v>TJ/10^6㎥</v>
          </cell>
          <cell r="X25">
            <v>44.2</v>
          </cell>
          <cell r="Y25">
            <v>40</v>
          </cell>
          <cell r="Z25">
            <v>56100</v>
          </cell>
          <cell r="AA25">
            <v>30</v>
          </cell>
          <cell r="AB25">
            <v>1</v>
          </cell>
          <cell r="AC25">
            <v>5</v>
          </cell>
          <cell r="AD25">
            <v>5</v>
          </cell>
          <cell r="AE25">
            <v>0.1</v>
          </cell>
          <cell r="AF25">
            <v>0.1</v>
          </cell>
        </row>
        <row r="26">
          <cell r="P26" t="str">
            <v>도시가스(LPG)</v>
          </cell>
          <cell r="Q26" t="str">
            <v>N㎥</v>
          </cell>
          <cell r="R26" t="str">
            <v>gas</v>
          </cell>
          <cell r="S26">
            <v>13800</v>
          </cell>
          <cell r="T26">
            <v>57.8</v>
          </cell>
          <cell r="U26">
            <v>1.38</v>
          </cell>
          <cell r="V26" t="str">
            <v>액화석유가스</v>
          </cell>
          <cell r="W26" t="str">
            <v>TJ/10^6㎥</v>
          </cell>
          <cell r="X26">
            <v>62.8</v>
          </cell>
          <cell r="Y26">
            <v>57.8</v>
          </cell>
          <cell r="Z26">
            <v>63100</v>
          </cell>
          <cell r="AA26">
            <v>1</v>
          </cell>
          <cell r="AB26">
            <v>1</v>
          </cell>
          <cell r="AC26">
            <v>5</v>
          </cell>
          <cell r="AD26">
            <v>5</v>
          </cell>
          <cell r="AE26">
            <v>0.1</v>
          </cell>
          <cell r="AF26">
            <v>0.1</v>
          </cell>
        </row>
        <row r="27">
          <cell r="P27" t="str">
            <v>국내무연탄</v>
          </cell>
          <cell r="Q27" t="str">
            <v>㎏</v>
          </cell>
          <cell r="R27" t="str">
            <v>solid</v>
          </cell>
          <cell r="S27">
            <v>4600</v>
          </cell>
          <cell r="T27">
            <v>19.3</v>
          </cell>
          <cell r="U27">
            <v>0.46</v>
          </cell>
          <cell r="V27" t="str">
            <v>무연탄</v>
          </cell>
          <cell r="W27" t="str">
            <v>TJ/Gg</v>
          </cell>
          <cell r="X27">
            <v>19.5</v>
          </cell>
          <cell r="Y27">
            <v>19.3</v>
          </cell>
          <cell r="Z27">
            <v>98300</v>
          </cell>
          <cell r="AA27">
            <v>1</v>
          </cell>
          <cell r="AB27">
            <v>10</v>
          </cell>
          <cell r="AC27">
            <v>10</v>
          </cell>
          <cell r="AD27">
            <v>300</v>
          </cell>
          <cell r="AE27">
            <v>1.5</v>
          </cell>
          <cell r="AF27">
            <v>1.5</v>
          </cell>
        </row>
        <row r="28">
          <cell r="P28" t="str">
            <v>수입무연탄</v>
          </cell>
          <cell r="Q28" t="str">
            <v>㎏</v>
          </cell>
          <cell r="R28" t="str">
            <v>solid</v>
          </cell>
          <cell r="S28">
            <v>6400</v>
          </cell>
          <cell r="T28">
            <v>26.8</v>
          </cell>
          <cell r="U28">
            <v>0.64</v>
          </cell>
          <cell r="V28" t="str">
            <v>무연탄</v>
          </cell>
          <cell r="W28" t="str">
            <v>TJ/Gg</v>
          </cell>
          <cell r="X28">
            <v>27.4</v>
          </cell>
          <cell r="Y28">
            <v>26.8</v>
          </cell>
          <cell r="Z28">
            <v>98300</v>
          </cell>
          <cell r="AA28">
            <v>1</v>
          </cell>
          <cell r="AB28">
            <v>10</v>
          </cell>
          <cell r="AC28">
            <v>10</v>
          </cell>
          <cell r="AD28">
            <v>300</v>
          </cell>
          <cell r="AE28">
            <v>1.5</v>
          </cell>
          <cell r="AF28">
            <v>1.5</v>
          </cell>
        </row>
        <row r="29">
          <cell r="P29" t="str">
            <v>유연탄(연료용)</v>
          </cell>
          <cell r="Q29" t="str">
            <v>㎏</v>
          </cell>
          <cell r="R29" t="str">
            <v>solid</v>
          </cell>
          <cell r="S29">
            <v>5950</v>
          </cell>
          <cell r="T29">
            <v>24.9</v>
          </cell>
          <cell r="U29">
            <v>0.59499999999999997</v>
          </cell>
          <cell r="V29" t="str">
            <v>기타역청탄</v>
          </cell>
          <cell r="W29" t="str">
            <v>TJ/Gg</v>
          </cell>
          <cell r="X29">
            <v>26</v>
          </cell>
          <cell r="Y29">
            <v>24.9</v>
          </cell>
          <cell r="Z29">
            <v>94600</v>
          </cell>
          <cell r="AA29">
            <v>1</v>
          </cell>
          <cell r="AB29">
            <v>10</v>
          </cell>
          <cell r="AC29">
            <v>10</v>
          </cell>
          <cell r="AD29">
            <v>300</v>
          </cell>
          <cell r="AE29">
            <v>1.5</v>
          </cell>
          <cell r="AF29">
            <v>1.5</v>
          </cell>
        </row>
        <row r="30">
          <cell r="P30" t="str">
            <v>유연탄(원료용)</v>
          </cell>
          <cell r="Q30" t="str">
            <v>㎏</v>
          </cell>
          <cell r="R30" t="str">
            <v>solid</v>
          </cell>
          <cell r="S30">
            <v>6750</v>
          </cell>
          <cell r="T30">
            <v>28.3</v>
          </cell>
          <cell r="U30">
            <v>0.67500000000000004</v>
          </cell>
          <cell r="V30" t="str">
            <v>점결탄</v>
          </cell>
          <cell r="W30" t="str">
            <v>TJ/Gg</v>
          </cell>
          <cell r="X30">
            <v>29.3</v>
          </cell>
          <cell r="Y30">
            <v>28.3</v>
          </cell>
          <cell r="Z30">
            <v>94600</v>
          </cell>
          <cell r="AA30">
            <v>1</v>
          </cell>
          <cell r="AB30">
            <v>10</v>
          </cell>
          <cell r="AC30">
            <v>10</v>
          </cell>
          <cell r="AD30">
            <v>300</v>
          </cell>
          <cell r="AE30">
            <v>1.5</v>
          </cell>
          <cell r="AF30">
            <v>1.5</v>
          </cell>
        </row>
        <row r="31">
          <cell r="P31" t="str">
            <v>아역청탄</v>
          </cell>
          <cell r="Q31" t="str">
            <v>㎏</v>
          </cell>
          <cell r="R31" t="str">
            <v>solid</v>
          </cell>
          <cell r="S31">
            <v>5000</v>
          </cell>
          <cell r="T31">
            <v>20.9</v>
          </cell>
          <cell r="U31">
            <v>0.5</v>
          </cell>
          <cell r="V31" t="str">
            <v>하위 유연탄</v>
          </cell>
          <cell r="W31" t="str">
            <v>TJ/Gg</v>
          </cell>
          <cell r="X31">
            <v>22.4</v>
          </cell>
          <cell r="Y31">
            <v>20.9</v>
          </cell>
          <cell r="Z31">
            <v>96100</v>
          </cell>
          <cell r="AA31">
            <v>1</v>
          </cell>
          <cell r="AB31">
            <v>10</v>
          </cell>
          <cell r="AC31">
            <v>10</v>
          </cell>
          <cell r="AD31">
            <v>300</v>
          </cell>
          <cell r="AE31">
            <v>1.5</v>
          </cell>
          <cell r="AF31">
            <v>1.5</v>
          </cell>
        </row>
        <row r="32">
          <cell r="P32" t="str">
            <v>코크스</v>
          </cell>
          <cell r="Q32" t="str">
            <v>㎏</v>
          </cell>
          <cell r="R32" t="str">
            <v>solid</v>
          </cell>
          <cell r="S32">
            <v>7000</v>
          </cell>
          <cell r="T32">
            <v>29.3</v>
          </cell>
          <cell r="U32">
            <v>0.7</v>
          </cell>
          <cell r="V32" t="str">
            <v>코크스로 코크스</v>
          </cell>
          <cell r="W32" t="str">
            <v>TJ/Gg</v>
          </cell>
          <cell r="X32">
            <v>29.5</v>
          </cell>
          <cell r="Y32">
            <v>29.3</v>
          </cell>
          <cell r="Z32">
            <v>107000</v>
          </cell>
          <cell r="AA32">
            <v>1</v>
          </cell>
          <cell r="AB32">
            <v>10</v>
          </cell>
          <cell r="AC32">
            <v>10</v>
          </cell>
          <cell r="AD32">
            <v>300</v>
          </cell>
          <cell r="AE32">
            <v>1.5</v>
          </cell>
          <cell r="AF32">
            <v>1.5</v>
          </cell>
        </row>
        <row r="33">
          <cell r="P33" t="str">
            <v>전기</v>
          </cell>
          <cell r="Q33" t="str">
            <v>kWh</v>
          </cell>
          <cell r="R33">
            <v>0</v>
          </cell>
          <cell r="S33">
            <v>2150</v>
          </cell>
          <cell r="T33">
            <v>9</v>
          </cell>
          <cell r="U33">
            <v>0.215</v>
          </cell>
          <cell r="V33">
            <v>0</v>
          </cell>
          <cell r="W33" t="str">
            <v>TJ/GWh</v>
          </cell>
          <cell r="X33">
            <v>9</v>
          </cell>
          <cell r="Y33">
            <v>3.6</v>
          </cell>
        </row>
        <row r="34">
          <cell r="P34" t="str">
            <v>신탄</v>
          </cell>
          <cell r="Q34" t="str">
            <v>kg</v>
          </cell>
          <cell r="R34" t="str">
            <v>solid</v>
          </cell>
          <cell r="S34" t="str">
            <v>-</v>
          </cell>
          <cell r="T34" t="str">
            <v>-</v>
          </cell>
          <cell r="U34">
            <v>0</v>
          </cell>
          <cell r="V34">
            <v>0</v>
          </cell>
          <cell r="W34">
            <v>0</v>
          </cell>
          <cell r="X34">
            <v>18.8</v>
          </cell>
          <cell r="Y34" t="str">
            <v>-</v>
          </cell>
        </row>
        <row r="48">
          <cell r="G48">
            <v>0.46529999999999999</v>
          </cell>
        </row>
        <row r="49">
          <cell r="G49">
            <v>5.4000000000000003E-3</v>
          </cell>
        </row>
        <row r="50">
          <cell r="G50">
            <v>2.7000000000000001E-3</v>
          </cell>
        </row>
        <row r="58">
          <cell r="A58" t="str">
            <v>고정연소</v>
          </cell>
        </row>
        <row r="59">
          <cell r="A59" t="str">
            <v>이동연소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"/>
      <sheetName val="배출계수"/>
      <sheetName val="명세서 코드 "/>
      <sheetName val="Main"/>
      <sheetName val="Data"/>
      <sheetName val="Analysis"/>
      <sheetName val="C1.고정연소"/>
      <sheetName val="이동연소(raw)"/>
      <sheetName val="C2.이동연소"/>
      <sheetName val="C3.공정배출"/>
      <sheetName val="C4.간접배출(전력)"/>
      <sheetName val="C5.간접배출(수열)"/>
      <sheetName val="열전기생산판매실적"/>
      <sheetName val="열전기공급배출계수"/>
      <sheetName val="협상-총량"/>
      <sheetName val="협상"/>
      <sheetName val="예상목표"/>
      <sheetName val="운영패턴(평균"/>
      <sheetName val="연도별 공급세대수"/>
      <sheetName val="급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8">
          <cell r="F58">
            <v>1</v>
          </cell>
        </row>
        <row r="59">
          <cell r="F59">
            <v>21</v>
          </cell>
        </row>
        <row r="60">
          <cell r="F60">
            <v>310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작성방법"/>
      <sheetName val="총괄_에너지및온실가스"/>
      <sheetName val="가.에너지"/>
      <sheetName val="나.외부공급"/>
      <sheetName val="다.매립"/>
      <sheetName val="라.생물학적처리"/>
      <sheetName val="마.소각"/>
      <sheetName val="바.하수"/>
      <sheetName val="사.폐수"/>
      <sheetName val="Parameter"/>
      <sheetName val="3.모니터링 계획"/>
      <sheetName val="노무비"/>
      <sheetName val="가_에너지"/>
      <sheetName val="나_외부공급"/>
      <sheetName val="다_매립"/>
      <sheetName val="라_생물학적처리"/>
      <sheetName val="마_소각"/>
      <sheetName val="바_하수"/>
      <sheetName val="사_폐수"/>
      <sheetName val="3_모니터링_계획"/>
      <sheetName val="001. 사업장일반정보"/>
      <sheetName val="001-1. 사업장 조직경계"/>
      <sheetName val="002. 사업장 배출량 총괄 현황_'22년"/>
      <sheetName val="003. 고정.이동.전기_'22년"/>
      <sheetName val="003-1. 기타에너지_'22년"/>
      <sheetName val="004. 소각_일반_'22년"/>
      <sheetName val="004. 소각_고온_'22년"/>
      <sheetName val="최종처리량_2022"/>
      <sheetName val="005. 매립(사업장폐기물)_1매립"/>
      <sheetName val="1매립_성상별매립량"/>
      <sheetName val="005. 매립(사업장폐기물)_2매립"/>
      <sheetName val="2매립_성상별매립량"/>
      <sheetName val="005. 매립(사업장폐기물)_3매립"/>
      <sheetName val="3매립_성상별매립량"/>
      <sheetName val="005. 매립(사업장폐기물)_4매립"/>
      <sheetName val="4매립_성상별매립량"/>
      <sheetName val="005. 매립(사업장폐기물)_5매립"/>
      <sheetName val="5매립_성상별매립량"/>
      <sheetName val="005. 매립(사업장폐기물)_6매립"/>
      <sheetName val="6매립_최종처리량"/>
      <sheetName val="005. 매립(사업장폐기물)_7매립"/>
      <sheetName val="7매립_최종처리량"/>
      <sheetName val="005. 매립(사업장폐기물)_8매립"/>
      <sheetName val="8매립_최종처리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F5" t="str">
            <v>음식물</v>
          </cell>
          <cell r="G5">
            <v>0.15</v>
          </cell>
          <cell r="H5">
            <v>0.185</v>
          </cell>
          <cell r="I5">
            <v>0.4</v>
          </cell>
          <cell r="J5">
            <v>0.38</v>
          </cell>
          <cell r="K5">
            <v>0</v>
          </cell>
          <cell r="L5">
            <v>0.83110428385212565</v>
          </cell>
          <cell r="M5" t="str">
            <v>Food waste</v>
          </cell>
          <cell r="N5" t="str">
            <v>음식물, 채소류 등</v>
          </cell>
        </row>
        <row r="6">
          <cell r="F6" t="str">
            <v>섬유</v>
          </cell>
          <cell r="G6">
            <v>0.24</v>
          </cell>
          <cell r="H6">
            <v>0.06</v>
          </cell>
          <cell r="I6">
            <v>0.8</v>
          </cell>
          <cell r="J6">
            <v>0.5</v>
          </cell>
          <cell r="K6">
            <v>0.2</v>
          </cell>
          <cell r="L6">
            <v>0.94176453358424872</v>
          </cell>
          <cell r="M6" t="str">
            <v>Textiles</v>
          </cell>
          <cell r="N6" t="str">
            <v>섬유, 폐섬유 등</v>
          </cell>
        </row>
        <row r="7">
          <cell r="F7" t="str">
            <v>나무류</v>
          </cell>
          <cell r="G7">
            <v>0.43</v>
          </cell>
          <cell r="H7">
            <v>0.03</v>
          </cell>
          <cell r="I7">
            <v>0.85</v>
          </cell>
          <cell r="J7">
            <v>0.5</v>
          </cell>
          <cell r="K7">
            <v>0</v>
          </cell>
          <cell r="L7">
            <v>0.97044553354850815</v>
          </cell>
          <cell r="M7" t="str">
            <v>Wood</v>
          </cell>
          <cell r="N7" t="str">
            <v>목재류(최종 목제제품으로 사용된)</v>
          </cell>
        </row>
        <row r="8">
          <cell r="F8" t="str">
            <v>종이류</v>
          </cell>
          <cell r="G8">
            <v>0.4</v>
          </cell>
          <cell r="H8">
            <v>0.06</v>
          </cell>
          <cell r="I8">
            <v>0.9</v>
          </cell>
          <cell r="J8">
            <v>0.46</v>
          </cell>
          <cell r="K8">
            <v>0.01</v>
          </cell>
          <cell r="L8">
            <v>0.94176453358424872</v>
          </cell>
          <cell r="M8" t="str">
            <v>Paper,cardboard</v>
          </cell>
          <cell r="N8" t="str">
            <v>종이, 판지 등</v>
          </cell>
        </row>
        <row r="9">
          <cell r="F9" t="str">
            <v>고무/가죽</v>
          </cell>
          <cell r="G9">
            <v>0.39</v>
          </cell>
          <cell r="H9">
            <v>0.03</v>
          </cell>
          <cell r="I9">
            <v>0.84</v>
          </cell>
          <cell r="J9">
            <v>0.67</v>
          </cell>
          <cell r="K9">
            <v>0.2</v>
          </cell>
          <cell r="L9">
            <v>0.97044553354850815</v>
          </cell>
          <cell r="M9" t="str">
            <v>Rubber and leather</v>
          </cell>
          <cell r="N9" t="str">
            <v>합성고무, 폐피혁 등</v>
          </cell>
        </row>
        <row r="10">
          <cell r="F10" t="str">
            <v>플라스틱류</v>
          </cell>
          <cell r="G10">
            <v>0</v>
          </cell>
          <cell r="H10">
            <v>0</v>
          </cell>
          <cell r="I10">
            <v>1</v>
          </cell>
          <cell r="J10">
            <v>0.75</v>
          </cell>
          <cell r="K10">
            <v>1</v>
          </cell>
          <cell r="L10">
            <v>1</v>
          </cell>
          <cell r="M10" t="str">
            <v>Plastics</v>
          </cell>
          <cell r="N10" t="str">
            <v xml:space="preserve">플라스틱, 폐합성수지 등 </v>
          </cell>
        </row>
        <row r="11">
          <cell r="F11" t="str">
            <v>금속</v>
          </cell>
          <cell r="G11">
            <v>0</v>
          </cell>
          <cell r="H11">
            <v>0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 t="str">
            <v>Metal</v>
          </cell>
          <cell r="N11" t="str">
            <v>금속 등의 불연물질</v>
          </cell>
        </row>
        <row r="12">
          <cell r="F12" t="str">
            <v>유리</v>
          </cell>
          <cell r="G12">
            <v>0</v>
          </cell>
          <cell r="H12">
            <v>0</v>
          </cell>
          <cell r="I12">
            <v>1</v>
          </cell>
          <cell r="J12">
            <v>0</v>
          </cell>
          <cell r="K12">
            <v>0</v>
          </cell>
          <cell r="L12">
            <v>1</v>
          </cell>
          <cell r="M12" t="str">
            <v>Glass</v>
          </cell>
          <cell r="N12" t="str">
            <v>유리 등의 불연물질</v>
          </cell>
        </row>
        <row r="13">
          <cell r="F13" t="str">
            <v>정원/공원폐기물</v>
          </cell>
          <cell r="G13">
            <v>0.2</v>
          </cell>
          <cell r="H13">
            <v>0.1</v>
          </cell>
          <cell r="I13">
            <v>0.4</v>
          </cell>
          <cell r="J13">
            <v>0.49</v>
          </cell>
          <cell r="K13">
            <v>0</v>
          </cell>
          <cell r="L13">
            <v>0.90483741803595952</v>
          </cell>
          <cell r="M13" t="str">
            <v>Garden and Park waste</v>
          </cell>
          <cell r="N13" t="str">
            <v>벌채목 등</v>
          </cell>
        </row>
        <row r="14">
          <cell r="F14" t="str">
            <v>기저귀</v>
          </cell>
          <cell r="G14">
            <v>0.24</v>
          </cell>
          <cell r="H14">
            <v>0.06</v>
          </cell>
          <cell r="I14">
            <v>0.4</v>
          </cell>
          <cell r="J14">
            <v>0.7</v>
          </cell>
          <cell r="K14">
            <v>0.1</v>
          </cell>
          <cell r="L14">
            <v>0.94176453358424872</v>
          </cell>
          <cell r="M14" t="str">
            <v>Nappies</v>
          </cell>
          <cell r="N14" t="str">
            <v>종이류로 포함되지 않는 기저귀 등</v>
          </cell>
        </row>
        <row r="15">
          <cell r="F15" t="str">
            <v>기타(inert)</v>
          </cell>
          <cell r="G15">
            <v>0</v>
          </cell>
          <cell r="H15">
            <v>0</v>
          </cell>
          <cell r="I15">
            <v>0.9</v>
          </cell>
          <cell r="J15">
            <v>0.03</v>
          </cell>
          <cell r="K15">
            <v>1</v>
          </cell>
          <cell r="L15">
            <v>1</v>
          </cell>
          <cell r="M15" t="str">
            <v>Other, inert</v>
          </cell>
          <cell r="N15" t="str">
            <v>기타 가연물</v>
          </cell>
        </row>
        <row r="16">
          <cell r="F16" t="str">
            <v>-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 t="str">
            <v>아래쪽은 입력하지마세요.</v>
          </cell>
        </row>
        <row r="17">
          <cell r="F17" t="str">
            <v>혼합폐기물(bulk)</v>
          </cell>
          <cell r="G17">
            <v>0.14000000000000001</v>
          </cell>
          <cell r="H17">
            <v>0.09</v>
          </cell>
          <cell r="I17">
            <v>0</v>
          </cell>
          <cell r="J17">
            <v>0</v>
          </cell>
          <cell r="K17">
            <v>0</v>
          </cell>
          <cell r="L17">
            <v>0.91393118527122819</v>
          </cell>
          <cell r="M17" t="str">
            <v>bulk waste from Waste Model</v>
          </cell>
          <cell r="N17" t="str">
            <v>조성별매립량 자료의 확보가 불가능한 년도만 적용</v>
          </cell>
        </row>
        <row r="18">
          <cell r="F18" t="str">
            <v>음식물</v>
          </cell>
          <cell r="G18">
            <v>0.15</v>
          </cell>
          <cell r="H18">
            <v>0.185</v>
          </cell>
          <cell r="I18">
            <v>0.4</v>
          </cell>
          <cell r="J18">
            <v>0.15</v>
          </cell>
          <cell r="K18">
            <v>0</v>
          </cell>
          <cell r="L18">
            <v>0.83110428385212565</v>
          </cell>
          <cell r="M18" t="str">
            <v>Food,beverages,tobacco</v>
          </cell>
          <cell r="N18" t="str">
            <v>음식, 음료, 담배 등</v>
          </cell>
        </row>
        <row r="19">
          <cell r="F19" t="str">
            <v>섬유</v>
          </cell>
          <cell r="G19">
            <v>0.24</v>
          </cell>
          <cell r="H19">
            <v>0.06</v>
          </cell>
          <cell r="I19">
            <v>0.8</v>
          </cell>
          <cell r="J19">
            <v>0.4</v>
          </cell>
          <cell r="K19">
            <v>0.16</v>
          </cell>
          <cell r="L19">
            <v>0.94176453358424872</v>
          </cell>
          <cell r="M19" t="str">
            <v>Textile</v>
          </cell>
          <cell r="N19" t="str">
            <v>섬유, 폐섬유 등</v>
          </cell>
        </row>
        <row r="20">
          <cell r="F20" t="str">
            <v>폐목재</v>
          </cell>
          <cell r="G20">
            <v>0.43</v>
          </cell>
          <cell r="H20">
            <v>0.03</v>
          </cell>
          <cell r="I20">
            <v>0.85</v>
          </cell>
          <cell r="J20">
            <v>0.43</v>
          </cell>
          <cell r="K20">
            <v>0</v>
          </cell>
          <cell r="L20">
            <v>0.97044553354850815</v>
          </cell>
          <cell r="M20" t="str">
            <v>Wood, Wood product</v>
          </cell>
          <cell r="N20" t="str">
            <v>목재(최종 목재 제품으로 사용된), 폐목재</v>
          </cell>
        </row>
        <row r="21">
          <cell r="F21" t="str">
            <v>제지</v>
          </cell>
          <cell r="G21">
            <v>0.4</v>
          </cell>
          <cell r="H21">
            <v>0.06</v>
          </cell>
          <cell r="I21">
            <v>0.9</v>
          </cell>
          <cell r="J21">
            <v>0.41</v>
          </cell>
          <cell r="K21">
            <v>0.01</v>
          </cell>
          <cell r="L21">
            <v>0.94176453358424872</v>
          </cell>
          <cell r="M21" t="str">
            <v>Pulp, paper</v>
          </cell>
          <cell r="N21" t="str">
            <v>제지, 폐지 등</v>
          </cell>
        </row>
        <row r="22">
          <cell r="F22" t="str">
            <v>석유제품</v>
          </cell>
          <cell r="G22">
            <v>0</v>
          </cell>
          <cell r="H22">
            <v>0</v>
          </cell>
          <cell r="I22">
            <v>1</v>
          </cell>
          <cell r="J22">
            <v>0.8</v>
          </cell>
          <cell r="K22">
            <v>0.8</v>
          </cell>
          <cell r="L22">
            <v>1</v>
          </cell>
          <cell r="M22" t="str">
            <v>Petroleum products, solvents, Plastic</v>
          </cell>
          <cell r="N22" t="str">
            <v>석유제품,용매,플라스틱,폐페인트,폐락카,폐유,폐유기용제 등</v>
          </cell>
        </row>
        <row r="23">
          <cell r="F23" t="str">
            <v>고무</v>
          </cell>
          <cell r="G23">
            <v>0.39</v>
          </cell>
          <cell r="H23">
            <v>0.03</v>
          </cell>
          <cell r="I23">
            <v>0.84</v>
          </cell>
          <cell r="J23">
            <v>0.56000000000000005</v>
          </cell>
          <cell r="K23">
            <v>0.17</v>
          </cell>
          <cell r="L23">
            <v>0.97044553354850815</v>
          </cell>
          <cell r="M23" t="str">
            <v>Rubber</v>
          </cell>
          <cell r="N23" t="str">
            <v>폐합성고무(천연고무가 아닌)</v>
          </cell>
        </row>
        <row r="24">
          <cell r="F24" t="str">
            <v>건설폐기물</v>
          </cell>
          <cell r="G24">
            <v>0.04</v>
          </cell>
          <cell r="H24">
            <v>0.09</v>
          </cell>
          <cell r="I24">
            <v>1</v>
          </cell>
          <cell r="J24">
            <v>0.24</v>
          </cell>
          <cell r="K24">
            <v>0.2</v>
          </cell>
          <cell r="L24">
            <v>0.91393118527122819</v>
          </cell>
          <cell r="M24" t="str">
            <v>Construction, demolition</v>
          </cell>
          <cell r="N24" t="str">
            <v>건설 및 파쇄 잔재 등</v>
          </cell>
        </row>
        <row r="25">
          <cell r="F25" t="str">
            <v>하수슬러지</v>
          </cell>
          <cell r="G25">
            <v>0.05</v>
          </cell>
          <cell r="H25">
            <v>0.185</v>
          </cell>
          <cell r="I25">
            <v>0.1</v>
          </cell>
          <cell r="J25">
            <v>0.45</v>
          </cell>
          <cell r="K25">
            <v>0</v>
          </cell>
          <cell r="L25">
            <v>0.83110428385212565</v>
          </cell>
          <cell r="M25" t="str">
            <v>Domestic sludge</v>
          </cell>
          <cell r="N25" t="str">
            <v>하수오니, 정수처리오니, 유기성하수오니 등</v>
          </cell>
        </row>
        <row r="26">
          <cell r="F26" t="str">
            <v>폐수슬러지</v>
          </cell>
          <cell r="G26">
            <v>0.09</v>
          </cell>
          <cell r="H26">
            <v>0.185</v>
          </cell>
          <cell r="I26">
            <v>0.35</v>
          </cell>
          <cell r="J26">
            <v>0.45</v>
          </cell>
          <cell r="K26">
            <v>0</v>
          </cell>
          <cell r="L26">
            <v>0.83110428385212565</v>
          </cell>
          <cell r="M26" t="str">
            <v>Industrial sludge</v>
          </cell>
          <cell r="N26" t="str">
            <v>폐수처리오니, 공정오니 등</v>
          </cell>
        </row>
        <row r="27">
          <cell r="F27" t="str">
            <v>병원성폐기물</v>
          </cell>
          <cell r="G27">
            <v>0.15</v>
          </cell>
          <cell r="H27">
            <v>0</v>
          </cell>
          <cell r="I27">
            <v>0.65</v>
          </cell>
          <cell r="J27">
            <v>0.4</v>
          </cell>
          <cell r="K27">
            <v>0.25</v>
          </cell>
          <cell r="L27">
            <v>1</v>
          </cell>
          <cell r="M27" t="str">
            <v>Clinical waste</v>
          </cell>
          <cell r="N27" t="str">
            <v>감염성폐기물, 동식물성 폐잔재물 등</v>
          </cell>
        </row>
        <row r="28">
          <cell r="F28" t="str">
            <v>폐피혁</v>
          </cell>
          <cell r="G28">
            <v>0.39</v>
          </cell>
          <cell r="H28">
            <v>0.03</v>
          </cell>
          <cell r="I28">
            <v>0.84</v>
          </cell>
          <cell r="J28">
            <v>0.67</v>
          </cell>
          <cell r="K28">
            <v>0.2</v>
          </cell>
          <cell r="L28">
            <v>0.97044553354850815</v>
          </cell>
          <cell r="M28" t="str">
            <v>Leather from MSW</v>
          </cell>
          <cell r="N28" t="str">
            <v>피혁, 폐피혁 등</v>
          </cell>
        </row>
        <row r="29">
          <cell r="F29" t="str">
            <v>기타</v>
          </cell>
          <cell r="G29">
            <v>0.01</v>
          </cell>
          <cell r="H29">
            <v>0.1</v>
          </cell>
          <cell r="I29">
            <v>0.9</v>
          </cell>
          <cell r="J29">
            <v>0.04</v>
          </cell>
          <cell r="K29">
            <v>0.03</v>
          </cell>
          <cell r="L29">
            <v>1</v>
          </cell>
          <cell r="M29" t="str">
            <v>Other</v>
          </cell>
          <cell r="N29" t="str">
            <v>기타 불연물</v>
          </cell>
        </row>
        <row r="30">
          <cell r="F30" t="str">
            <v>혼합폐기물(bulk)</v>
          </cell>
          <cell r="G30">
            <v>0.15</v>
          </cell>
          <cell r="H30">
            <v>0.09</v>
          </cell>
          <cell r="I30">
            <v>0</v>
          </cell>
          <cell r="J30">
            <v>0</v>
          </cell>
          <cell r="K30">
            <v>0</v>
          </cell>
          <cell r="L30">
            <v>0.91393118527122819</v>
          </cell>
          <cell r="M30" t="str">
            <v>bulk waste from Waste Model</v>
          </cell>
          <cell r="N30" t="str">
            <v>조성별매립량 자료의 확보가 불가능한 년도만 적용</v>
          </cell>
        </row>
      </sheetData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omments" Target="../comments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26" Type="http://schemas.openxmlformats.org/officeDocument/2006/relationships/ctrlProp" Target="../ctrlProps/ctrlProp43.xml"/><Relationship Id="rId39" Type="http://schemas.openxmlformats.org/officeDocument/2006/relationships/ctrlProp" Target="../ctrlProps/ctrlProp56.xml"/><Relationship Id="rId21" Type="http://schemas.openxmlformats.org/officeDocument/2006/relationships/ctrlProp" Target="../ctrlProps/ctrlProp38.xml"/><Relationship Id="rId34" Type="http://schemas.openxmlformats.org/officeDocument/2006/relationships/ctrlProp" Target="../ctrlProps/ctrlProp51.x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25" Type="http://schemas.openxmlformats.org/officeDocument/2006/relationships/ctrlProp" Target="../ctrlProps/ctrlProp42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3.xml"/><Relationship Id="rId20" Type="http://schemas.openxmlformats.org/officeDocument/2006/relationships/ctrlProp" Target="../ctrlProps/ctrlProp37.xml"/><Relationship Id="rId29" Type="http://schemas.openxmlformats.org/officeDocument/2006/relationships/ctrlProp" Target="../ctrlProps/ctrlProp4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24" Type="http://schemas.openxmlformats.org/officeDocument/2006/relationships/ctrlProp" Target="../ctrlProps/ctrlProp41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40" Type="http://schemas.openxmlformats.org/officeDocument/2006/relationships/comments" Target="../comments6.xml"/><Relationship Id="rId5" Type="http://schemas.openxmlformats.org/officeDocument/2006/relationships/ctrlProp" Target="../ctrlProps/ctrlProp22.xml"/><Relationship Id="rId15" Type="http://schemas.openxmlformats.org/officeDocument/2006/relationships/ctrlProp" Target="../ctrlProps/ctrlProp32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36" Type="http://schemas.openxmlformats.org/officeDocument/2006/relationships/ctrlProp" Target="../ctrlProps/ctrlProp53.xml"/><Relationship Id="rId10" Type="http://schemas.openxmlformats.org/officeDocument/2006/relationships/ctrlProp" Target="../ctrlProps/ctrlProp27.xml"/><Relationship Id="rId19" Type="http://schemas.openxmlformats.org/officeDocument/2006/relationships/ctrlProp" Target="../ctrlProps/ctrlProp36.xml"/><Relationship Id="rId31" Type="http://schemas.openxmlformats.org/officeDocument/2006/relationships/ctrlProp" Target="../ctrlProps/ctrlProp48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4" Type="http://schemas.openxmlformats.org/officeDocument/2006/relationships/ctrlProp" Target="../ctrlProps/ctrlProp31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view="pageBreakPreview" zoomScale="130" zoomScaleNormal="130" zoomScaleSheetLayoutView="130" workbookViewId="0">
      <selection activeCell="D24" sqref="D24:J24"/>
    </sheetView>
  </sheetViews>
  <sheetFormatPr defaultColWidth="0" defaultRowHeight="16.5" zeroHeight="1"/>
  <cols>
    <col min="1" max="1" width="2.125" customWidth="1"/>
    <col min="2" max="8" width="9" customWidth="1"/>
    <col min="9" max="9" width="32.875" customWidth="1"/>
    <col min="10" max="10" width="16.25" customWidth="1"/>
    <col min="11" max="16384" width="9" hidden="1"/>
  </cols>
  <sheetData>
    <row r="1" spans="1:10" ht="12" customHeight="1">
      <c r="A1" s="305" t="s">
        <v>787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ht="12" customHeight="1" thickBot="1">
      <c r="A2" s="305"/>
      <c r="B2" s="305" t="s">
        <v>821</v>
      </c>
      <c r="C2" s="305"/>
      <c r="D2" s="305"/>
      <c r="E2" s="305"/>
      <c r="F2" s="305"/>
      <c r="G2" s="305"/>
      <c r="H2" s="305"/>
      <c r="I2" s="305"/>
      <c r="J2" s="305"/>
    </row>
    <row r="3" spans="1:10" ht="27" thickBot="1">
      <c r="A3" s="305"/>
      <c r="B3" s="359" t="s">
        <v>644</v>
      </c>
      <c r="C3" s="360"/>
      <c r="D3" s="360"/>
      <c r="E3" s="360"/>
      <c r="F3" s="360"/>
      <c r="G3" s="360"/>
      <c r="H3" s="360"/>
      <c r="I3" s="361"/>
      <c r="J3" s="305"/>
    </row>
    <row r="4" spans="1:10">
      <c r="A4" s="305"/>
      <c r="B4" s="362" t="s">
        <v>806</v>
      </c>
      <c r="C4" s="363"/>
      <c r="D4" s="363"/>
      <c r="E4" s="363"/>
      <c r="F4" s="363"/>
      <c r="G4" s="363"/>
      <c r="H4" s="363"/>
      <c r="I4" s="364"/>
      <c r="J4" s="305"/>
    </row>
    <row r="5" spans="1:10">
      <c r="A5" s="305"/>
      <c r="B5" s="365"/>
      <c r="C5" s="366"/>
      <c r="D5" s="366"/>
      <c r="E5" s="366"/>
      <c r="F5" s="366"/>
      <c r="G5" s="366"/>
      <c r="H5" s="366"/>
      <c r="I5" s="367"/>
      <c r="J5" s="305"/>
    </row>
    <row r="6" spans="1:10">
      <c r="A6" s="305"/>
      <c r="B6" s="365"/>
      <c r="C6" s="366"/>
      <c r="D6" s="366"/>
      <c r="E6" s="366"/>
      <c r="F6" s="366"/>
      <c r="G6" s="366"/>
      <c r="H6" s="366"/>
      <c r="I6" s="367"/>
      <c r="J6" s="305"/>
    </row>
    <row r="7" spans="1:10">
      <c r="A7" s="305"/>
      <c r="B7" s="365"/>
      <c r="C7" s="366"/>
      <c r="D7" s="366"/>
      <c r="E7" s="366"/>
      <c r="F7" s="366"/>
      <c r="G7" s="366"/>
      <c r="H7" s="366"/>
      <c r="I7" s="367"/>
      <c r="J7" s="305"/>
    </row>
    <row r="8" spans="1:10">
      <c r="A8" s="305"/>
      <c r="B8" s="365"/>
      <c r="C8" s="366"/>
      <c r="D8" s="366"/>
      <c r="E8" s="366"/>
      <c r="F8" s="366"/>
      <c r="G8" s="366"/>
      <c r="H8" s="366"/>
      <c r="I8" s="367"/>
      <c r="J8" s="305"/>
    </row>
    <row r="9" spans="1:10">
      <c r="A9" s="305"/>
      <c r="B9" s="365"/>
      <c r="C9" s="366"/>
      <c r="D9" s="366"/>
      <c r="E9" s="366"/>
      <c r="F9" s="366"/>
      <c r="G9" s="366"/>
      <c r="H9" s="366"/>
      <c r="I9" s="367"/>
      <c r="J9" s="305"/>
    </row>
    <row r="10" spans="1:10">
      <c r="A10" s="305"/>
      <c r="B10" s="368"/>
      <c r="C10" s="369"/>
      <c r="D10" s="369"/>
      <c r="E10" s="369"/>
      <c r="F10" s="369"/>
      <c r="G10" s="369"/>
      <c r="H10" s="369"/>
      <c r="I10" s="370"/>
      <c r="J10" s="305"/>
    </row>
    <row r="11" spans="1:10">
      <c r="A11" s="305"/>
      <c r="B11" s="368"/>
      <c r="C11" s="369"/>
      <c r="D11" s="369"/>
      <c r="E11" s="369"/>
      <c r="F11" s="369"/>
      <c r="G11" s="369"/>
      <c r="H11" s="369"/>
      <c r="I11" s="370"/>
      <c r="J11" s="305"/>
    </row>
    <row r="12" spans="1:10">
      <c r="A12" s="305"/>
      <c r="B12" s="368"/>
      <c r="C12" s="369"/>
      <c r="D12" s="369"/>
      <c r="E12" s="369"/>
      <c r="F12" s="369"/>
      <c r="G12" s="369"/>
      <c r="H12" s="369"/>
      <c r="I12" s="370"/>
      <c r="J12" s="305"/>
    </row>
    <row r="13" spans="1:10" ht="17.25" thickBot="1">
      <c r="A13" s="305"/>
      <c r="B13" s="371"/>
      <c r="C13" s="372"/>
      <c r="D13" s="372"/>
      <c r="E13" s="372"/>
      <c r="F13" s="372"/>
      <c r="G13" s="372"/>
      <c r="H13" s="372"/>
      <c r="I13" s="373"/>
      <c r="J13" s="305"/>
    </row>
    <row r="14" spans="1:10">
      <c r="A14" s="305"/>
      <c r="B14" s="325"/>
      <c r="C14" s="325"/>
      <c r="D14" s="325"/>
      <c r="E14" s="325"/>
      <c r="F14" s="325"/>
      <c r="G14" s="325"/>
      <c r="H14" s="325"/>
      <c r="I14" s="325"/>
      <c r="J14" s="305"/>
    </row>
    <row r="15" spans="1:10">
      <c r="A15" s="305"/>
      <c r="B15" s="325"/>
      <c r="C15" s="325"/>
      <c r="D15" s="325"/>
      <c r="E15" s="325"/>
      <c r="F15" s="325"/>
      <c r="G15" s="325"/>
      <c r="H15" s="325"/>
      <c r="I15" s="325"/>
      <c r="J15" s="305"/>
    </row>
    <row r="16" spans="1:10">
      <c r="A16" s="305"/>
      <c r="B16" s="325"/>
      <c r="C16" s="325"/>
      <c r="D16" s="325"/>
      <c r="E16" s="325"/>
      <c r="F16" s="325"/>
      <c r="G16" s="325"/>
      <c r="H16" s="325"/>
      <c r="I16" s="325"/>
      <c r="J16" s="305"/>
    </row>
    <row r="17" spans="1:10">
      <c r="A17" s="305"/>
      <c r="B17" s="325"/>
      <c r="C17" s="325"/>
      <c r="D17" s="325"/>
      <c r="E17" s="325"/>
      <c r="F17" s="325"/>
      <c r="G17" s="325"/>
      <c r="H17" s="325"/>
      <c r="I17" s="325"/>
      <c r="J17" s="305"/>
    </row>
    <row r="18" spans="1:10" ht="17.25" thickBot="1">
      <c r="A18" s="305"/>
      <c r="B18" s="305" t="s">
        <v>745</v>
      </c>
      <c r="C18" s="305"/>
      <c r="D18" s="305"/>
      <c r="E18" s="305"/>
      <c r="F18" s="305"/>
      <c r="G18" s="305"/>
      <c r="H18" s="305"/>
      <c r="I18" s="305"/>
      <c r="J18" s="305"/>
    </row>
    <row r="19" spans="1:10" ht="17.25" thickBot="1">
      <c r="A19" s="305"/>
      <c r="B19" s="374" t="s">
        <v>746</v>
      </c>
      <c r="C19" s="375"/>
      <c r="D19" s="375" t="s">
        <v>747</v>
      </c>
      <c r="E19" s="375"/>
      <c r="F19" s="375"/>
      <c r="G19" s="375"/>
      <c r="H19" s="375"/>
      <c r="I19" s="375"/>
      <c r="J19" s="376"/>
    </row>
    <row r="20" spans="1:10">
      <c r="A20" s="305"/>
      <c r="B20" s="355" t="s">
        <v>748</v>
      </c>
      <c r="C20" s="356"/>
      <c r="D20" s="377" t="s">
        <v>749</v>
      </c>
      <c r="E20" s="377"/>
      <c r="F20" s="377"/>
      <c r="G20" s="377"/>
      <c r="H20" s="377"/>
      <c r="I20" s="377"/>
      <c r="J20" s="378"/>
    </row>
    <row r="21" spans="1:10">
      <c r="A21" s="305"/>
      <c r="B21" s="355" t="s">
        <v>750</v>
      </c>
      <c r="C21" s="356"/>
      <c r="D21" s="357" t="s">
        <v>751</v>
      </c>
      <c r="E21" s="357"/>
      <c r="F21" s="357"/>
      <c r="G21" s="357"/>
      <c r="H21" s="357"/>
      <c r="I21" s="357"/>
      <c r="J21" s="358"/>
    </row>
    <row r="22" spans="1:10">
      <c r="A22" s="305"/>
      <c r="B22" s="355" t="s">
        <v>788</v>
      </c>
      <c r="C22" s="356"/>
      <c r="D22" s="357" t="s">
        <v>789</v>
      </c>
      <c r="E22" s="357"/>
      <c r="F22" s="357"/>
      <c r="G22" s="357"/>
      <c r="H22" s="357"/>
      <c r="I22" s="357"/>
      <c r="J22" s="358"/>
    </row>
    <row r="23" spans="1:10">
      <c r="A23" s="305"/>
      <c r="B23" s="355" t="s">
        <v>820</v>
      </c>
      <c r="C23" s="356"/>
      <c r="D23" s="357" t="s">
        <v>822</v>
      </c>
      <c r="E23" s="357"/>
      <c r="F23" s="357"/>
      <c r="G23" s="357"/>
      <c r="H23" s="357"/>
      <c r="I23" s="357"/>
      <c r="J23" s="358"/>
    </row>
    <row r="24" spans="1:10">
      <c r="A24" s="305"/>
      <c r="B24" s="379"/>
      <c r="C24" s="380"/>
      <c r="D24" s="357"/>
      <c r="E24" s="357"/>
      <c r="F24" s="357"/>
      <c r="G24" s="357"/>
      <c r="H24" s="357"/>
      <c r="I24" s="357"/>
      <c r="J24" s="358"/>
    </row>
    <row r="25" spans="1:10">
      <c r="A25" s="305"/>
      <c r="B25" s="379"/>
      <c r="C25" s="380"/>
      <c r="D25" s="357"/>
      <c r="E25" s="357"/>
      <c r="F25" s="357"/>
      <c r="G25" s="357"/>
      <c r="H25" s="357"/>
      <c r="I25" s="357"/>
      <c r="J25" s="358"/>
    </row>
    <row r="26" spans="1:10">
      <c r="A26" s="305"/>
      <c r="B26" s="379"/>
      <c r="C26" s="380"/>
      <c r="D26" s="357"/>
      <c r="E26" s="357"/>
      <c r="F26" s="357"/>
      <c r="G26" s="357"/>
      <c r="H26" s="357"/>
      <c r="I26" s="357"/>
      <c r="J26" s="358"/>
    </row>
    <row r="27" spans="1:10">
      <c r="A27" s="305"/>
      <c r="B27" s="379"/>
      <c r="C27" s="380"/>
      <c r="D27" s="357"/>
      <c r="E27" s="357"/>
      <c r="F27" s="357"/>
      <c r="G27" s="357"/>
      <c r="H27" s="357"/>
      <c r="I27" s="357"/>
      <c r="J27" s="358"/>
    </row>
    <row r="28" spans="1:10">
      <c r="A28" s="305"/>
      <c r="B28" s="379"/>
      <c r="C28" s="380"/>
      <c r="D28" s="357"/>
      <c r="E28" s="357"/>
      <c r="F28" s="357"/>
      <c r="G28" s="357"/>
      <c r="H28" s="357"/>
      <c r="I28" s="357"/>
      <c r="J28" s="358"/>
    </row>
    <row r="29" spans="1:10" ht="17.25" thickBot="1">
      <c r="A29" s="305"/>
      <c r="B29" s="381"/>
      <c r="C29" s="382"/>
      <c r="D29" s="383"/>
      <c r="E29" s="383"/>
      <c r="F29" s="383"/>
      <c r="G29" s="383"/>
      <c r="H29" s="383"/>
      <c r="I29" s="383"/>
      <c r="J29" s="384"/>
    </row>
    <row r="30" spans="1:10">
      <c r="A30" s="305"/>
      <c r="B30" s="325"/>
      <c r="C30" s="325"/>
      <c r="D30" s="325"/>
      <c r="E30" s="325"/>
      <c r="F30" s="325"/>
      <c r="G30" s="325"/>
      <c r="H30" s="325"/>
      <c r="I30" s="325"/>
      <c r="J30" s="305"/>
    </row>
    <row r="31" spans="1:10">
      <c r="A31" s="305"/>
      <c r="B31" s="325"/>
      <c r="C31" s="325"/>
      <c r="D31" s="325"/>
      <c r="E31" s="325"/>
      <c r="F31" s="325"/>
      <c r="G31" s="325"/>
      <c r="H31" s="325"/>
      <c r="I31" s="325"/>
      <c r="J31" s="305"/>
    </row>
    <row r="32" spans="1:10">
      <c r="B32" s="326"/>
      <c r="C32" s="326"/>
      <c r="D32" s="326"/>
      <c r="E32" s="326"/>
      <c r="F32" s="326"/>
      <c r="G32" s="326"/>
      <c r="H32" s="326"/>
      <c r="I32" s="326"/>
    </row>
    <row r="33" spans="1:10">
      <c r="A33" s="305"/>
      <c r="B33" s="305" t="s">
        <v>695</v>
      </c>
      <c r="C33" s="305"/>
      <c r="D33" s="305"/>
      <c r="E33" s="305"/>
      <c r="F33" s="305"/>
      <c r="G33" s="305"/>
      <c r="H33" s="305"/>
      <c r="I33" s="305"/>
      <c r="J33" s="305"/>
    </row>
    <row r="47" spans="1:10" hidden="1">
      <c r="C47" s="161"/>
    </row>
  </sheetData>
  <mergeCells count="24">
    <mergeCell ref="B27:C27"/>
    <mergeCell ref="D27:J27"/>
    <mergeCell ref="B28:C28"/>
    <mergeCell ref="D28:J28"/>
    <mergeCell ref="B29:C29"/>
    <mergeCell ref="D29:J29"/>
    <mergeCell ref="B24:C24"/>
    <mergeCell ref="D24:J24"/>
    <mergeCell ref="B25:C25"/>
    <mergeCell ref="D25:J25"/>
    <mergeCell ref="B26:C26"/>
    <mergeCell ref="D26:J26"/>
    <mergeCell ref="B22:C22"/>
    <mergeCell ref="D22:J22"/>
    <mergeCell ref="B23:C23"/>
    <mergeCell ref="D23:J23"/>
    <mergeCell ref="B3:I3"/>
    <mergeCell ref="B4:I13"/>
    <mergeCell ref="B19:C19"/>
    <mergeCell ref="D19:J19"/>
    <mergeCell ref="B20:C20"/>
    <mergeCell ref="D20:J20"/>
    <mergeCell ref="B21:C21"/>
    <mergeCell ref="D21:J21"/>
  </mergeCells>
  <phoneticPr fontId="2" type="noConversion"/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1"/>
  <sheetViews>
    <sheetView tabSelected="1" view="pageBreakPreview" zoomScale="85" zoomScaleNormal="100" zoomScaleSheetLayoutView="85" zoomScalePageLayoutView="55" workbookViewId="0">
      <selection activeCell="A2" sqref="A2:N2"/>
    </sheetView>
  </sheetViews>
  <sheetFormatPr defaultColWidth="9" defaultRowHeight="16.5" zeroHeight="1"/>
  <cols>
    <col min="1" max="1" width="11.75" customWidth="1"/>
    <col min="2" max="2" width="9.5" customWidth="1"/>
    <col min="3" max="3" width="4.875" customWidth="1"/>
    <col min="4" max="4" width="13.875" customWidth="1"/>
    <col min="5" max="5" width="5.25" customWidth="1"/>
    <col min="6" max="6" width="12.25" customWidth="1"/>
    <col min="7" max="7" width="5.875" bestFit="1" customWidth="1"/>
    <col min="8" max="8" width="8.875" customWidth="1"/>
    <col min="9" max="9" width="4.875" customWidth="1"/>
    <col min="10" max="10" width="3.25" customWidth="1"/>
    <col min="11" max="11" width="4.125" customWidth="1"/>
    <col min="12" max="12" width="4.75" customWidth="1"/>
    <col min="13" max="13" width="8.125" customWidth="1"/>
    <col min="14" max="14" width="5.875" customWidth="1"/>
    <col min="15" max="15" width="4.875" customWidth="1"/>
    <col min="16" max="16" width="9" hidden="1" customWidth="1"/>
    <col min="17" max="17" width="42.5" hidden="1" customWidth="1"/>
    <col min="18" max="18" width="18.75" hidden="1" customWidth="1"/>
    <col min="19" max="22" width="9" hidden="1" customWidth="1"/>
    <col min="23" max="26" width="9" customWidth="1"/>
  </cols>
  <sheetData>
    <row r="1" spans="1:21" ht="25.5" customHeight="1" thickBot="1">
      <c r="A1" s="348" t="s">
        <v>0</v>
      </c>
      <c r="B1" s="348"/>
      <c r="C1" s="348"/>
      <c r="D1" s="348"/>
      <c r="E1" s="407" t="s">
        <v>1</v>
      </c>
      <c r="F1" s="408"/>
      <c r="G1" s="408"/>
      <c r="H1" s="408"/>
      <c r="I1" s="408"/>
      <c r="J1" s="408"/>
      <c r="K1" s="408"/>
      <c r="L1" s="408"/>
      <c r="M1" s="408"/>
      <c r="N1" s="409"/>
    </row>
    <row r="2" spans="1:21" ht="39" customHeight="1" thickBot="1">
      <c r="A2" s="410" t="s">
        <v>636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2"/>
      <c r="Q2" s="1"/>
      <c r="R2" s="151" t="s">
        <v>740</v>
      </c>
      <c r="S2" s="1"/>
    </row>
    <row r="3" spans="1:21" s="10" customFormat="1" ht="27" customHeight="1">
      <c r="A3" s="413" t="s">
        <v>28</v>
      </c>
      <c r="B3" s="415" t="s">
        <v>651</v>
      </c>
      <c r="C3" s="416"/>
      <c r="D3" s="416"/>
      <c r="E3" s="417"/>
      <c r="F3" s="354" t="s">
        <v>632</v>
      </c>
      <c r="G3" s="424" t="s">
        <v>2</v>
      </c>
      <c r="H3" s="425"/>
      <c r="I3" s="425"/>
      <c r="J3" s="426" t="s">
        <v>769</v>
      </c>
      <c r="K3" s="427"/>
      <c r="L3" s="428"/>
      <c r="M3" s="429"/>
      <c r="N3" s="430"/>
      <c r="Q3" s="167"/>
      <c r="R3" s="319" t="s">
        <v>735</v>
      </c>
      <c r="S3" s="167"/>
      <c r="T3" s="10" t="s">
        <v>770</v>
      </c>
    </row>
    <row r="4" spans="1:21" s="10" customFormat="1" ht="27" customHeight="1">
      <c r="A4" s="414"/>
      <c r="B4" s="418" t="s">
        <v>812</v>
      </c>
      <c r="C4" s="419"/>
      <c r="D4" s="419"/>
      <c r="E4" s="420"/>
      <c r="F4" s="343" t="s">
        <v>741</v>
      </c>
      <c r="G4" s="421"/>
      <c r="H4" s="422"/>
      <c r="I4" s="422"/>
      <c r="J4" s="422"/>
      <c r="K4" s="422"/>
      <c r="L4" s="422"/>
      <c r="M4" s="422"/>
      <c r="N4" s="423"/>
      <c r="Q4" s="167"/>
      <c r="R4" s="320" t="s">
        <v>738</v>
      </c>
      <c r="T4" s="10" t="s">
        <v>771</v>
      </c>
    </row>
    <row r="5" spans="1:21" s="10" customFormat="1" ht="30" customHeight="1">
      <c r="A5" s="349" t="s">
        <v>3</v>
      </c>
      <c r="B5" s="431"/>
      <c r="C5" s="431"/>
      <c r="D5" s="431"/>
      <c r="E5" s="432"/>
      <c r="F5" s="191" t="s">
        <v>4</v>
      </c>
      <c r="G5" s="387" t="s">
        <v>0</v>
      </c>
      <c r="H5" s="388"/>
      <c r="I5" s="388"/>
      <c r="J5" s="388"/>
      <c r="K5" s="388"/>
      <c r="L5" s="388"/>
      <c r="M5" s="388"/>
      <c r="N5" s="389"/>
      <c r="P5" s="167"/>
      <c r="Q5" s="167"/>
      <c r="R5" s="320" t="s">
        <v>739</v>
      </c>
      <c r="T5" s="10" t="s">
        <v>772</v>
      </c>
    </row>
    <row r="6" spans="1:21" s="10" customFormat="1" ht="30" customHeight="1">
      <c r="A6" s="349" t="s">
        <v>699</v>
      </c>
      <c r="B6" s="385"/>
      <c r="C6" s="385"/>
      <c r="D6" s="385"/>
      <c r="E6" s="386"/>
      <c r="F6" s="191" t="s">
        <v>697</v>
      </c>
      <c r="G6" s="390"/>
      <c r="H6" s="391"/>
      <c r="I6" s="391"/>
      <c r="J6" s="391"/>
      <c r="K6" s="391"/>
      <c r="L6" s="391"/>
      <c r="M6" s="391"/>
      <c r="N6" s="398"/>
      <c r="Q6" s="167"/>
      <c r="R6" s="320" t="s">
        <v>736</v>
      </c>
      <c r="T6" s="10" t="s">
        <v>773</v>
      </c>
    </row>
    <row r="7" spans="1:21" s="10" customFormat="1" ht="30" customHeight="1">
      <c r="A7" s="349" t="s">
        <v>700</v>
      </c>
      <c r="B7" s="385"/>
      <c r="C7" s="385"/>
      <c r="D7" s="385"/>
      <c r="E7" s="386"/>
      <c r="F7" s="191" t="s">
        <v>698</v>
      </c>
      <c r="G7" s="387" t="s">
        <v>0</v>
      </c>
      <c r="H7" s="388"/>
      <c r="I7" s="388"/>
      <c r="J7" s="388"/>
      <c r="K7" s="388"/>
      <c r="L7" s="388"/>
      <c r="M7" s="388"/>
      <c r="N7" s="389"/>
      <c r="P7" s="167"/>
      <c r="Q7" s="167"/>
      <c r="R7" s="320" t="s">
        <v>737</v>
      </c>
    </row>
    <row r="8" spans="1:21" s="10" customFormat="1" ht="30" customHeight="1">
      <c r="A8" s="349" t="s">
        <v>734</v>
      </c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433"/>
      <c r="P8" s="167"/>
      <c r="Q8" s="167"/>
      <c r="R8" s="320" t="s">
        <v>790</v>
      </c>
    </row>
    <row r="9" spans="1:21" s="10" customFormat="1" ht="30" customHeight="1">
      <c r="A9" s="349" t="s">
        <v>5</v>
      </c>
      <c r="B9" s="385"/>
      <c r="C9" s="385"/>
      <c r="D9" s="385"/>
      <c r="E9" s="386"/>
      <c r="F9" s="191" t="s">
        <v>701</v>
      </c>
      <c r="G9" s="434"/>
      <c r="H9" s="435"/>
      <c r="I9" s="435"/>
      <c r="J9" s="435"/>
      <c r="K9" s="435"/>
      <c r="L9" s="435"/>
      <c r="M9" s="435"/>
      <c r="N9" s="436"/>
      <c r="P9" s="167"/>
      <c r="Q9" s="167"/>
      <c r="R9" s="320" t="s">
        <v>791</v>
      </c>
    </row>
    <row r="10" spans="1:21" s="10" customFormat="1" ht="30" customHeight="1">
      <c r="A10" s="349" t="s">
        <v>6</v>
      </c>
      <c r="B10" s="385"/>
      <c r="C10" s="385"/>
      <c r="D10" s="385"/>
      <c r="E10" s="386"/>
      <c r="F10" s="191" t="s">
        <v>630</v>
      </c>
      <c r="G10" s="437"/>
      <c r="H10" s="394"/>
      <c r="I10" s="394"/>
      <c r="J10" s="394"/>
      <c r="K10" s="394"/>
      <c r="L10" s="394"/>
      <c r="M10" s="394" t="s">
        <v>23</v>
      </c>
      <c r="N10" s="395"/>
      <c r="P10" s="167"/>
      <c r="Q10" s="167"/>
      <c r="R10" s="320" t="s">
        <v>792</v>
      </c>
    </row>
    <row r="11" spans="1:21" s="10" customFormat="1" ht="30" customHeight="1">
      <c r="A11" s="349" t="s">
        <v>7</v>
      </c>
      <c r="B11" s="385"/>
      <c r="C11" s="385"/>
      <c r="D11" s="385"/>
      <c r="E11" s="386"/>
      <c r="F11" s="191" t="s">
        <v>8</v>
      </c>
      <c r="G11" s="438" t="s">
        <v>650</v>
      </c>
      <c r="H11" s="439"/>
      <c r="I11" s="392" t="s">
        <v>696</v>
      </c>
      <c r="J11" s="393"/>
      <c r="K11" s="440" t="s">
        <v>631</v>
      </c>
      <c r="L11" s="440"/>
      <c r="M11" s="440"/>
      <c r="N11" s="441"/>
      <c r="Q11" s="167"/>
      <c r="R11" s="320" t="s">
        <v>793</v>
      </c>
    </row>
    <row r="12" spans="1:21" s="10" customFormat="1" ht="30" customHeight="1">
      <c r="A12" s="349" t="s">
        <v>9</v>
      </c>
      <c r="B12" s="458">
        <f>'&lt;산정tool&gt;배출량,감축량'!H8</f>
        <v>35194</v>
      </c>
      <c r="C12" s="458"/>
      <c r="D12" s="456" t="s">
        <v>20</v>
      </c>
      <c r="E12" s="457"/>
      <c r="F12" s="191" t="s">
        <v>10</v>
      </c>
      <c r="G12" s="399">
        <f>'&lt;산정tool&gt;투자회수기간'!G8</f>
        <v>60.4</v>
      </c>
      <c r="H12" s="400"/>
      <c r="I12" s="400"/>
      <c r="J12" s="400"/>
      <c r="K12" s="400"/>
      <c r="L12" s="400"/>
      <c r="M12" s="391" t="s">
        <v>27</v>
      </c>
      <c r="N12" s="398"/>
      <c r="P12" s="167"/>
      <c r="Q12" s="167"/>
      <c r="R12" s="320" t="s">
        <v>794</v>
      </c>
    </row>
    <row r="13" spans="1:21" s="10" customFormat="1" ht="30" customHeight="1">
      <c r="A13" s="350" t="s">
        <v>637</v>
      </c>
      <c r="B13" s="321">
        <f>'&lt;산정tool&gt;보조금'!C7/1000</f>
        <v>20030000</v>
      </c>
      <c r="C13" s="337" t="s">
        <v>17</v>
      </c>
      <c r="D13" s="396" t="s">
        <v>628</v>
      </c>
      <c r="E13" s="397"/>
      <c r="F13" s="321">
        <f>'&lt;산정tool&gt;보조금'!E7/1000</f>
        <v>6000000</v>
      </c>
      <c r="G13" s="336" t="s">
        <v>17</v>
      </c>
      <c r="H13" s="396" t="s">
        <v>629</v>
      </c>
      <c r="I13" s="397"/>
      <c r="J13" s="405">
        <f>'&lt;산정tool&gt;보조금'!D7/1000</f>
        <v>14130000</v>
      </c>
      <c r="K13" s="406"/>
      <c r="L13" s="406"/>
      <c r="M13" s="406"/>
      <c r="N13" s="351" t="s">
        <v>17</v>
      </c>
      <c r="Q13" s="167"/>
      <c r="R13" s="320" t="s">
        <v>795</v>
      </c>
    </row>
    <row r="14" spans="1:21" s="10" customFormat="1" ht="30" customHeight="1">
      <c r="A14" s="350" t="s">
        <v>11</v>
      </c>
      <c r="B14" s="455" t="s">
        <v>679</v>
      </c>
      <c r="C14" s="402"/>
      <c r="D14" s="401" t="s">
        <v>677</v>
      </c>
      <c r="E14" s="402"/>
      <c r="F14" s="401" t="s">
        <v>678</v>
      </c>
      <c r="G14" s="402"/>
      <c r="H14" s="396" t="s">
        <v>14</v>
      </c>
      <c r="I14" s="397"/>
      <c r="J14" s="396" t="s">
        <v>15</v>
      </c>
      <c r="K14" s="404"/>
      <c r="L14" s="397"/>
      <c r="M14" s="396" t="s">
        <v>16</v>
      </c>
      <c r="N14" s="403"/>
      <c r="Q14" s="167"/>
      <c r="R14" s="319" t="s">
        <v>796</v>
      </c>
    </row>
    <row r="15" spans="1:21" s="10" customFormat="1" ht="30" customHeight="1">
      <c r="A15" s="349" t="s">
        <v>18</v>
      </c>
      <c r="B15" s="344"/>
      <c r="C15" s="335" t="s">
        <v>17</v>
      </c>
      <c r="D15" s="344"/>
      <c r="E15" s="335" t="s">
        <v>17</v>
      </c>
      <c r="F15" s="344"/>
      <c r="G15" s="335" t="s">
        <v>17</v>
      </c>
      <c r="H15" s="344"/>
      <c r="I15" s="334" t="s">
        <v>21</v>
      </c>
      <c r="J15" s="390"/>
      <c r="K15" s="391"/>
      <c r="L15" s="333" t="s">
        <v>26</v>
      </c>
      <c r="M15" s="165"/>
      <c r="N15" s="352" t="s">
        <v>24</v>
      </c>
      <c r="Q15" s="167"/>
    </row>
    <row r="16" spans="1:21" s="10" customFormat="1" ht="30" customHeight="1">
      <c r="A16" s="349" t="s">
        <v>12</v>
      </c>
      <c r="B16" s="344"/>
      <c r="C16" s="335" t="s">
        <v>17</v>
      </c>
      <c r="D16" s="163"/>
      <c r="E16" s="335" t="s">
        <v>17</v>
      </c>
      <c r="F16" s="163"/>
      <c r="G16" s="335" t="s">
        <v>17</v>
      </c>
      <c r="H16" s="164"/>
      <c r="I16" s="334" t="s">
        <v>22</v>
      </c>
      <c r="J16" s="390"/>
      <c r="K16" s="391"/>
      <c r="L16" s="333" t="s">
        <v>25</v>
      </c>
      <c r="M16" s="165"/>
      <c r="N16" s="352" t="s">
        <v>25</v>
      </c>
      <c r="Q16" s="168" t="s">
        <v>798</v>
      </c>
      <c r="R16" s="168" t="s">
        <v>681</v>
      </c>
      <c r="S16" s="168">
        <v>2</v>
      </c>
      <c r="T16" s="168" t="s">
        <v>682</v>
      </c>
      <c r="U16" s="265">
        <f>IF($V$18,50%,CHOOSE($S$16,70%,50%,30%,50%))</f>
        <v>0.5</v>
      </c>
    </row>
    <row r="17" spans="1:22" s="10" customFormat="1" ht="30" customHeight="1">
      <c r="A17" s="349" t="s">
        <v>807</v>
      </c>
      <c r="B17" s="344"/>
      <c r="C17" s="335" t="s">
        <v>17</v>
      </c>
      <c r="D17" s="163"/>
      <c r="E17" s="335" t="s">
        <v>17</v>
      </c>
      <c r="F17" s="163"/>
      <c r="G17" s="335" t="s">
        <v>17</v>
      </c>
      <c r="H17" s="164"/>
      <c r="I17" s="334" t="s">
        <v>22</v>
      </c>
      <c r="J17" s="390"/>
      <c r="K17" s="391"/>
      <c r="L17" s="333" t="s">
        <v>25</v>
      </c>
      <c r="M17" s="165"/>
      <c r="N17" s="352" t="s">
        <v>25</v>
      </c>
      <c r="R17" s="169" t="s">
        <v>30</v>
      </c>
      <c r="S17" s="169" t="s">
        <v>31</v>
      </c>
      <c r="T17" s="169" t="s">
        <v>32</v>
      </c>
      <c r="U17" s="169">
        <v>1</v>
      </c>
      <c r="V17" s="169">
        <v>2</v>
      </c>
    </row>
    <row r="18" spans="1:22" s="10" customFormat="1" ht="30" customHeight="1">
      <c r="A18" s="442" t="s">
        <v>774</v>
      </c>
      <c r="B18" s="404"/>
      <c r="C18" s="404"/>
      <c r="D18" s="166"/>
      <c r="E18" s="336" t="s">
        <v>22</v>
      </c>
      <c r="F18" s="396" t="s">
        <v>680</v>
      </c>
      <c r="G18" s="404"/>
      <c r="H18" s="404"/>
      <c r="I18" s="397"/>
      <c r="J18" s="390"/>
      <c r="K18" s="391"/>
      <c r="L18" s="391"/>
      <c r="M18" s="391"/>
      <c r="N18" s="353" t="s">
        <v>22</v>
      </c>
      <c r="Q18" s="168" t="s">
        <v>797</v>
      </c>
      <c r="R18" s="168" t="s">
        <v>29</v>
      </c>
      <c r="S18" s="168" t="str">
        <f>IF(COUNTIF(U18:V18,TRUE)&gt;1,"사업불가",IF(COUNTIF(U18:V18,TRUE)=0,"미선택","선택완료"))</f>
        <v>미선택</v>
      </c>
      <c r="T18" s="168" t="str">
        <f t="shared" ref="T18:T25" si="0">CONCATENATE(IF($U18,1,""),IF($V18,2,""))</f>
        <v/>
      </c>
      <c r="U18" s="151" t="b">
        <v>0</v>
      </c>
      <c r="V18" s="151" t="b">
        <v>0</v>
      </c>
    </row>
    <row r="19" spans="1:22" s="10" customFormat="1" ht="30" customHeight="1">
      <c r="A19" s="442" t="s">
        <v>13</v>
      </c>
      <c r="B19" s="404"/>
      <c r="C19" s="404"/>
      <c r="D19" s="404"/>
      <c r="E19" s="397"/>
      <c r="F19" s="396" t="s">
        <v>777</v>
      </c>
      <c r="G19" s="404"/>
      <c r="H19" s="404"/>
      <c r="I19" s="404"/>
      <c r="J19" s="404"/>
      <c r="K19" s="404"/>
      <c r="L19" s="404"/>
      <c r="M19" s="404"/>
      <c r="N19" s="403"/>
      <c r="Q19" s="168" t="s">
        <v>799</v>
      </c>
      <c r="R19" s="168" t="s">
        <v>33</v>
      </c>
      <c r="S19" s="168" t="str">
        <f>IF(COUNTIF(U19:V19,TRUE)&gt;=1,COUNTIF(U19:V19,TRUE)&amp;"개 선택",IF(COUNTIF(U19:V19,TRUE)=0,"미선택",""))</f>
        <v>미선택</v>
      </c>
      <c r="T19" s="168" t="str">
        <f t="shared" si="0"/>
        <v/>
      </c>
      <c r="U19" s="151" t="b">
        <v>0</v>
      </c>
      <c r="V19" s="151" t="b">
        <v>0</v>
      </c>
    </row>
    <row r="20" spans="1:22" s="10" customFormat="1" ht="30" customHeight="1">
      <c r="A20" s="444" t="s">
        <v>782</v>
      </c>
      <c r="B20" s="445"/>
      <c r="C20" s="445"/>
      <c r="D20" s="445"/>
      <c r="E20" s="446"/>
      <c r="F20" s="438" t="s">
        <v>776</v>
      </c>
      <c r="G20" s="393"/>
      <c r="H20" s="447"/>
      <c r="I20" s="438" t="s">
        <v>775</v>
      </c>
      <c r="J20" s="393"/>
      <c r="K20" s="393"/>
      <c r="L20" s="393"/>
      <c r="M20" s="393"/>
      <c r="N20" s="443"/>
      <c r="Q20" s="168" t="s">
        <v>800</v>
      </c>
      <c r="R20" s="168" t="s">
        <v>35</v>
      </c>
      <c r="S20" s="168" t="str">
        <f>IF(COUNTIF(U20:V20,TRUE)&gt;1,"사업불가",IF(COUNTIF(U20:V20,TRUE)=0,"미선택",IF(COUNTIF(V20,TRUE)=1,"사업불가","선택완료")))</f>
        <v>미선택</v>
      </c>
      <c r="T20" s="168" t="str">
        <f t="shared" si="0"/>
        <v/>
      </c>
      <c r="U20" s="151" t="b">
        <v>0</v>
      </c>
      <c r="V20" s="151" t="b">
        <v>0</v>
      </c>
    </row>
    <row r="21" spans="1:22" s="10" customFormat="1" ht="30" customHeight="1">
      <c r="A21" s="444" t="s">
        <v>783</v>
      </c>
      <c r="B21" s="445"/>
      <c r="C21" s="445"/>
      <c r="D21" s="445"/>
      <c r="E21" s="446"/>
      <c r="F21" s="438" t="s">
        <v>649</v>
      </c>
      <c r="G21" s="393"/>
      <c r="H21" s="447"/>
      <c r="I21" s="438" t="s">
        <v>648</v>
      </c>
      <c r="J21" s="393"/>
      <c r="K21" s="393"/>
      <c r="L21" s="393"/>
      <c r="M21" s="393"/>
      <c r="N21" s="443"/>
      <c r="Q21" s="168" t="s">
        <v>801</v>
      </c>
      <c r="R21" s="168" t="s">
        <v>36</v>
      </c>
      <c r="S21" s="168" t="str">
        <f>IF(COUNTIF(U21:V21,TRUE)&gt;1,"사업불가",IF(COUNTIF(U21:V21,TRUE)=0,"미선택","선택완료"))</f>
        <v>미선택</v>
      </c>
      <c r="T21" s="168" t="str">
        <f t="shared" si="0"/>
        <v/>
      </c>
      <c r="U21" s="151" t="b">
        <v>0</v>
      </c>
      <c r="V21" s="151" t="b">
        <v>0</v>
      </c>
    </row>
    <row r="22" spans="1:22" s="10" customFormat="1" ht="30" customHeight="1">
      <c r="A22" s="444" t="s">
        <v>784</v>
      </c>
      <c r="B22" s="445"/>
      <c r="C22" s="445"/>
      <c r="D22" s="445"/>
      <c r="E22" s="446"/>
      <c r="F22" s="438" t="s">
        <v>702</v>
      </c>
      <c r="G22" s="393"/>
      <c r="H22" s="447"/>
      <c r="I22" s="438" t="s">
        <v>703</v>
      </c>
      <c r="J22" s="393"/>
      <c r="K22" s="393"/>
      <c r="L22" s="393"/>
      <c r="M22" s="393"/>
      <c r="N22" s="443"/>
      <c r="Q22" s="168" t="s">
        <v>802</v>
      </c>
      <c r="R22" s="168" t="s">
        <v>37</v>
      </c>
      <c r="S22" s="168" t="str">
        <f>IF(COUNTIF(U22:V22,TRUE)&gt;1,"사업불가",IF(COUNTIF(U22:V22,TRUE)=0,"미선택","선택완료"))</f>
        <v>미선택</v>
      </c>
      <c r="T22" s="168" t="str">
        <f t="shared" si="0"/>
        <v/>
      </c>
      <c r="U22" s="151" t="b">
        <v>0</v>
      </c>
      <c r="V22" s="151" t="b">
        <v>0</v>
      </c>
    </row>
    <row r="23" spans="1:22" s="10" customFormat="1" ht="30" customHeight="1">
      <c r="A23" s="444" t="s">
        <v>785</v>
      </c>
      <c r="B23" s="445"/>
      <c r="C23" s="445"/>
      <c r="D23" s="445"/>
      <c r="E23" s="446"/>
      <c r="F23" s="438" t="s">
        <v>780</v>
      </c>
      <c r="G23" s="393"/>
      <c r="H23" s="447"/>
      <c r="I23" s="438" t="s">
        <v>779</v>
      </c>
      <c r="J23" s="393"/>
      <c r="K23" s="393"/>
      <c r="L23" s="393"/>
      <c r="M23" s="393"/>
      <c r="N23" s="443"/>
      <c r="Q23" s="168" t="s">
        <v>803</v>
      </c>
      <c r="R23" s="168" t="s">
        <v>38</v>
      </c>
      <c r="S23" s="168" t="str">
        <f>IF(COUNTIF(U23:V23,TRUE)&gt;1,"사업불가",IF(COUNTIF(U23:V23,TRUE)=0,"미선택","선택완료"))</f>
        <v>미선택</v>
      </c>
      <c r="T23" s="168" t="str">
        <f t="shared" si="0"/>
        <v/>
      </c>
      <c r="U23" s="151" t="b">
        <v>0</v>
      </c>
      <c r="V23" s="151" t="b">
        <v>0</v>
      </c>
    </row>
    <row r="24" spans="1:22" s="10" customFormat="1" ht="30" customHeight="1">
      <c r="A24" s="444" t="s">
        <v>786</v>
      </c>
      <c r="B24" s="445"/>
      <c r="C24" s="445"/>
      <c r="D24" s="445"/>
      <c r="E24" s="446"/>
      <c r="F24" s="438" t="s">
        <v>645</v>
      </c>
      <c r="G24" s="393"/>
      <c r="H24" s="447"/>
      <c r="I24" s="438" t="s">
        <v>646</v>
      </c>
      <c r="J24" s="393"/>
      <c r="K24" s="393"/>
      <c r="L24" s="393"/>
      <c r="M24" s="393"/>
      <c r="N24" s="443"/>
      <c r="Q24" s="168" t="s">
        <v>804</v>
      </c>
      <c r="R24" s="168" t="s">
        <v>39</v>
      </c>
      <c r="S24" s="168" t="str">
        <f>IF(COUNTIF(U24:V24,TRUE)&gt;1,"사업불가",IF(COUNTIF(U24:V24,TRUE)=0,"미선택",IF(COUNTIF(V24,TRUE)=1,"사업불가","선택완료")))</f>
        <v>미선택</v>
      </c>
      <c r="T24" s="168" t="str">
        <f t="shared" si="0"/>
        <v/>
      </c>
      <c r="U24" s="151" t="b">
        <v>0</v>
      </c>
      <c r="V24" s="151" t="b">
        <v>0</v>
      </c>
    </row>
    <row r="25" spans="1:22" s="10" customFormat="1" ht="30" customHeight="1" thickBot="1">
      <c r="A25" s="448" t="s">
        <v>778</v>
      </c>
      <c r="B25" s="449"/>
      <c r="C25" s="449"/>
      <c r="D25" s="449"/>
      <c r="E25" s="450"/>
      <c r="F25" s="451" t="s">
        <v>704</v>
      </c>
      <c r="G25" s="452"/>
      <c r="H25" s="453"/>
      <c r="I25" s="451" t="s">
        <v>647</v>
      </c>
      <c r="J25" s="452"/>
      <c r="K25" s="452"/>
      <c r="L25" s="452"/>
      <c r="M25" s="452"/>
      <c r="N25" s="454"/>
      <c r="Q25" s="168" t="s">
        <v>805</v>
      </c>
      <c r="R25" s="168" t="s">
        <v>40</v>
      </c>
      <c r="S25" s="168" t="str">
        <f>IF(COUNTIF(U25:V25,TRUE)&gt;1,"사업불가",IF(COUNTIF(U25:V25,TRUE)=0,"미선택",IF(COUNTIF(V25,TRUE)=1,"사업불가","선택완료")))</f>
        <v>미선택</v>
      </c>
      <c r="T25" s="168" t="str">
        <f t="shared" si="0"/>
        <v/>
      </c>
      <c r="U25" s="151" t="b">
        <v>0</v>
      </c>
      <c r="V25" s="151" t="b">
        <v>0</v>
      </c>
    </row>
    <row r="26" spans="1:22" ht="30" customHeight="1">
      <c r="A26" s="345"/>
      <c r="B26" s="345"/>
      <c r="C26" s="345"/>
      <c r="D26" s="345"/>
      <c r="E26" s="345"/>
      <c r="F26" s="346"/>
      <c r="G26" s="346"/>
      <c r="H26" s="346"/>
      <c r="I26" s="346"/>
      <c r="J26" s="346"/>
      <c r="K26" s="346"/>
      <c r="L26" s="346"/>
      <c r="M26" s="346"/>
      <c r="N26" s="346"/>
      <c r="Q26" s="168"/>
      <c r="R26" s="168"/>
      <c r="S26" s="168"/>
      <c r="T26" s="168"/>
      <c r="U26" s="151"/>
      <c r="V26" s="151"/>
    </row>
    <row r="27" spans="1:22">
      <c r="A27" s="347"/>
      <c r="B27" s="347"/>
      <c r="C27" s="347"/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7"/>
    </row>
    <row r="28" spans="1:22"/>
    <row r="29" spans="1:22"/>
    <row r="30" spans="1:22"/>
    <row r="31" spans="1:22"/>
  </sheetData>
  <mergeCells count="64">
    <mergeCell ref="B14:C14"/>
    <mergeCell ref="D13:E13"/>
    <mergeCell ref="D14:E14"/>
    <mergeCell ref="D12:E12"/>
    <mergeCell ref="B12:C12"/>
    <mergeCell ref="A25:E25"/>
    <mergeCell ref="F25:H25"/>
    <mergeCell ref="I25:N25"/>
    <mergeCell ref="A23:E23"/>
    <mergeCell ref="F23:H23"/>
    <mergeCell ref="I23:N23"/>
    <mergeCell ref="A24:E24"/>
    <mergeCell ref="F24:H24"/>
    <mergeCell ref="A18:C18"/>
    <mergeCell ref="I24:N24"/>
    <mergeCell ref="A21:E21"/>
    <mergeCell ref="F21:H21"/>
    <mergeCell ref="I21:N21"/>
    <mergeCell ref="A22:E22"/>
    <mergeCell ref="F22:H22"/>
    <mergeCell ref="I22:N22"/>
    <mergeCell ref="A19:E19"/>
    <mergeCell ref="F19:N19"/>
    <mergeCell ref="A20:E20"/>
    <mergeCell ref="F20:H20"/>
    <mergeCell ref="I20:N20"/>
    <mergeCell ref="F18:I18"/>
    <mergeCell ref="J18:M18"/>
    <mergeCell ref="B9:E9"/>
    <mergeCell ref="B10:E10"/>
    <mergeCell ref="B11:E11"/>
    <mergeCell ref="G9:N9"/>
    <mergeCell ref="G10:L10"/>
    <mergeCell ref="G11:H11"/>
    <mergeCell ref="K11:N11"/>
    <mergeCell ref="E1:N1"/>
    <mergeCell ref="A2:N2"/>
    <mergeCell ref="A3:A4"/>
    <mergeCell ref="G5:N5"/>
    <mergeCell ref="G6:N6"/>
    <mergeCell ref="B3:E3"/>
    <mergeCell ref="B4:E4"/>
    <mergeCell ref="G4:N4"/>
    <mergeCell ref="G3:I3"/>
    <mergeCell ref="J3:L3"/>
    <mergeCell ref="M3:N3"/>
    <mergeCell ref="B5:E5"/>
    <mergeCell ref="B6:E6"/>
    <mergeCell ref="B7:E7"/>
    <mergeCell ref="G7:N7"/>
    <mergeCell ref="J15:K15"/>
    <mergeCell ref="J16:K16"/>
    <mergeCell ref="J17:K17"/>
    <mergeCell ref="I11:J11"/>
    <mergeCell ref="M10:N10"/>
    <mergeCell ref="H14:I14"/>
    <mergeCell ref="M12:N12"/>
    <mergeCell ref="G12:L12"/>
    <mergeCell ref="F14:G14"/>
    <mergeCell ref="H13:I13"/>
    <mergeCell ref="M14:N14"/>
    <mergeCell ref="J14:L14"/>
    <mergeCell ref="J13:M13"/>
    <mergeCell ref="B8:N8"/>
  </mergeCells>
  <phoneticPr fontId="2" type="noConversion"/>
  <conditionalFormatting sqref="B3:B4">
    <cfRule type="expression" dxfId="13" priority="174">
      <formula>INDEX($S$18:$S$25,MATCH($Q$18,$R$18:$R$25,0))="사업불가"</formula>
    </cfRule>
  </conditionalFormatting>
  <conditionalFormatting sqref="F26:H26">
    <cfRule type="expression" dxfId="12" priority="2">
      <formula>INDEX($S$18:$S$25,MATCH($Q$25,$R$18:$R$25,0))="사업불가"</formula>
    </cfRule>
  </conditionalFormatting>
  <conditionalFormatting sqref="F20:N20">
    <cfRule type="expression" dxfId="11" priority="166">
      <formula>INDEX($S$18:$S$25,MATCH($Q$20,$R$18:$R$25,0))="사업불가"</formula>
    </cfRule>
  </conditionalFormatting>
  <conditionalFormatting sqref="F21:N21">
    <cfRule type="expression" dxfId="10" priority="167">
      <formula>INDEX($S$18:$S$25,MATCH($Q$21,$R$18:$R$25,0))="사업불가"</formula>
    </cfRule>
  </conditionalFormatting>
  <conditionalFormatting sqref="F22:N22">
    <cfRule type="expression" dxfId="9" priority="168">
      <formula>INDEX($S$18:$S$25,MATCH($Q$22,$R$18:$R$25,0))="사업불가"</formula>
    </cfRule>
  </conditionalFormatting>
  <conditionalFormatting sqref="F23:N23">
    <cfRule type="expression" dxfId="8" priority="169">
      <formula>INDEX($S$18:$S$25,MATCH($Q$23,$R$18:$R$25,0))="사업불가"</formula>
    </cfRule>
  </conditionalFormatting>
  <conditionalFormatting sqref="F24:N24">
    <cfRule type="expression" dxfId="7" priority="170">
      <formula>INDEX($S$18:$S$25,MATCH($Q$24,$R$18:$R$25,0))="사업불가"</formula>
    </cfRule>
  </conditionalFormatting>
  <conditionalFormatting sqref="F25:N25">
    <cfRule type="expression" dxfId="6" priority="171">
      <formula>INDEX($S$18:$S$25,MATCH($Q$25,$R$18:$R$25,0))="사업불가"</formula>
    </cfRule>
  </conditionalFormatting>
  <conditionalFormatting sqref="G11:I11 K11">
    <cfRule type="expression" dxfId="5" priority="172">
      <formula>INDEX($S$18:$S$25,MATCH($Q$19,$R$18:$R$25,0))="사업불가"</formula>
    </cfRule>
  </conditionalFormatting>
  <conditionalFormatting sqref="I20:N22">
    <cfRule type="expression" dxfId="4" priority="4">
      <formula>V20=TRUE</formula>
    </cfRule>
  </conditionalFormatting>
  <conditionalFormatting sqref="I24:N25">
    <cfRule type="expression" dxfId="3" priority="3">
      <formula>V24=TRUE</formula>
    </cfRule>
  </conditionalFormatting>
  <conditionalFormatting sqref="U18:V26">
    <cfRule type="expression" dxfId="2" priority="14">
      <formula>U18</formula>
    </cfRule>
  </conditionalFormatting>
  <dataValidations disablePrompts="1" count="2">
    <dataValidation type="list" allowBlank="1" showInputMessage="1" showErrorMessage="1" sqref="M3:N3" xr:uid="{CDD6AD16-C385-4B1B-A4F7-04E7AFFB8A25}">
      <formula1>$T$3:$T$6</formula1>
    </dataValidation>
    <dataValidation type="list" allowBlank="1" showInputMessage="1" showErrorMessage="1" sqref="G9:N9" xr:uid="{00000000-0002-0000-0100-000000000000}">
      <formula1>$R$3:$R$14</formula1>
    </dataValidation>
  </dataValidations>
  <pageMargins left="0.7" right="0.7" top="0.75" bottom="0.75" header="0.3" footer="0.3"/>
  <pageSetup paperSize="9" scale="7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6</xdr:col>
                    <xdr:colOff>9525</xdr:colOff>
                    <xdr:row>10</xdr:row>
                    <xdr:rowOff>57150</xdr:rowOff>
                  </from>
                  <to>
                    <xdr:col>6</xdr:col>
                    <xdr:colOff>371475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8</xdr:col>
                    <xdr:colOff>19050</xdr:colOff>
                    <xdr:row>10</xdr:row>
                    <xdr:rowOff>47625</xdr:rowOff>
                  </from>
                  <to>
                    <xdr:col>9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47625</xdr:colOff>
                    <xdr:row>2</xdr:row>
                    <xdr:rowOff>38100</xdr:rowOff>
                  </from>
                  <to>
                    <xdr:col>1</xdr:col>
                    <xdr:colOff>400050</xdr:colOff>
                    <xdr:row>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>
                  <from>
                    <xdr:col>1</xdr:col>
                    <xdr:colOff>57150</xdr:colOff>
                    <xdr:row>3</xdr:row>
                    <xdr:rowOff>38100</xdr:rowOff>
                  </from>
                  <to>
                    <xdr:col>1</xdr:col>
                    <xdr:colOff>419100</xdr:colOff>
                    <xdr:row>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4</xdr:col>
                    <xdr:colOff>390525</xdr:colOff>
                    <xdr:row>19</xdr:row>
                    <xdr:rowOff>57150</xdr:rowOff>
                  </from>
                  <to>
                    <xdr:col>5</xdr:col>
                    <xdr:colOff>333375</xdr:colOff>
                    <xdr:row>19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390525</xdr:colOff>
                    <xdr:row>20</xdr:row>
                    <xdr:rowOff>28575</xdr:rowOff>
                  </from>
                  <to>
                    <xdr:col>5</xdr:col>
                    <xdr:colOff>333375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4</xdr:col>
                    <xdr:colOff>390525</xdr:colOff>
                    <xdr:row>21</xdr:row>
                    <xdr:rowOff>47625</xdr:rowOff>
                  </from>
                  <to>
                    <xdr:col>5</xdr:col>
                    <xdr:colOff>333375</xdr:colOff>
                    <xdr:row>21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4</xdr:col>
                    <xdr:colOff>390525</xdr:colOff>
                    <xdr:row>22</xdr:row>
                    <xdr:rowOff>57150</xdr:rowOff>
                  </from>
                  <to>
                    <xdr:col>5</xdr:col>
                    <xdr:colOff>333375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4</xdr:col>
                    <xdr:colOff>381000</xdr:colOff>
                    <xdr:row>24</xdr:row>
                    <xdr:rowOff>66675</xdr:rowOff>
                  </from>
                  <to>
                    <xdr:col>5</xdr:col>
                    <xdr:colOff>323850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4</xdr:col>
                    <xdr:colOff>381000</xdr:colOff>
                    <xdr:row>23</xdr:row>
                    <xdr:rowOff>76200</xdr:rowOff>
                  </from>
                  <to>
                    <xdr:col>5</xdr:col>
                    <xdr:colOff>323850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676275</xdr:colOff>
                    <xdr:row>19</xdr:row>
                    <xdr:rowOff>66675</xdr:rowOff>
                  </from>
                  <to>
                    <xdr:col>9</xdr:col>
                    <xdr:colOff>9525</xdr:colOff>
                    <xdr:row>19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666750</xdr:colOff>
                    <xdr:row>20</xdr:row>
                    <xdr:rowOff>57150</xdr:rowOff>
                  </from>
                  <to>
                    <xdr:col>8</xdr:col>
                    <xdr:colOff>361950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666750</xdr:colOff>
                    <xdr:row>21</xdr:row>
                    <xdr:rowOff>57150</xdr:rowOff>
                  </from>
                  <to>
                    <xdr:col>8</xdr:col>
                    <xdr:colOff>361950</xdr:colOff>
                    <xdr:row>21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47625</xdr:rowOff>
                  </from>
                  <to>
                    <xdr:col>8</xdr:col>
                    <xdr:colOff>361950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8" name="Check Box 17">
              <controlPr defaultSize="0" autoFill="0" autoLine="0" autoPict="0">
                <anchor moveWithCells="1">
                  <from>
                    <xdr:col>7</xdr:col>
                    <xdr:colOff>666750</xdr:colOff>
                    <xdr:row>22</xdr:row>
                    <xdr:rowOff>342900</xdr:rowOff>
                  </from>
                  <to>
                    <xdr:col>8</xdr:col>
                    <xdr:colOff>361950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9" name="Check Box 18">
              <controlPr defaultSize="0" autoFill="0" autoLine="0" autoPict="0">
                <anchor moveWithCells="1">
                  <from>
                    <xdr:col>7</xdr:col>
                    <xdr:colOff>676275</xdr:colOff>
                    <xdr:row>24</xdr:row>
                    <xdr:rowOff>66675</xdr:rowOff>
                  </from>
                  <to>
                    <xdr:col>9</xdr:col>
                    <xdr:colOff>0</xdr:colOff>
                    <xdr:row>24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0" name="Option Button 26">
              <controlPr defaultSize="0" autoFill="0" autoLine="0" autoPict="0">
                <anchor moveWithCells="1">
                  <from>
                    <xdr:col>6</xdr:col>
                    <xdr:colOff>47625</xdr:colOff>
                    <xdr:row>3</xdr:row>
                    <xdr:rowOff>47625</xdr:rowOff>
                  </from>
                  <to>
                    <xdr:col>7</xdr:col>
                    <xdr:colOff>285750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1" name="Option Button 27">
              <controlPr defaultSize="0" autoFill="0" autoLine="0" autoPict="0">
                <anchor moveWithCells="1">
                  <from>
                    <xdr:col>7</xdr:col>
                    <xdr:colOff>323850</xdr:colOff>
                    <xdr:row>3</xdr:row>
                    <xdr:rowOff>47625</xdr:rowOff>
                  </from>
                  <to>
                    <xdr:col>8</xdr:col>
                    <xdr:colOff>333375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2" name="Option Button 28">
              <controlPr defaultSize="0" autoFill="0" autoLine="0" autoPict="0">
                <anchor moveWithCells="1">
                  <from>
                    <xdr:col>8</xdr:col>
                    <xdr:colOff>361950</xdr:colOff>
                    <xdr:row>3</xdr:row>
                    <xdr:rowOff>47625</xdr:rowOff>
                  </from>
                  <to>
                    <xdr:col>11</xdr:col>
                    <xdr:colOff>47625</xdr:colOff>
                    <xdr:row>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3" name="Option Button 50">
              <controlPr defaultSize="0" autoFill="0" autoLine="0" autoPict="0">
                <anchor moveWithCells="1">
                  <from>
                    <xdr:col>11</xdr:col>
                    <xdr:colOff>85725</xdr:colOff>
                    <xdr:row>3</xdr:row>
                    <xdr:rowOff>47625</xdr:rowOff>
                  </from>
                  <to>
                    <xdr:col>13</xdr:col>
                    <xdr:colOff>400050</xdr:colOff>
                    <xdr:row>3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48"/>
  <sheetViews>
    <sheetView view="pageBreakPreview" topLeftCell="A19" zoomScale="85" zoomScaleNormal="85" zoomScaleSheetLayoutView="85" workbookViewId="0">
      <selection activeCell="P26" sqref="P26"/>
    </sheetView>
  </sheetViews>
  <sheetFormatPr defaultRowHeight="16.5"/>
  <cols>
    <col min="1" max="1" width="4" style="305" customWidth="1"/>
    <col min="2" max="2" width="14.5" customWidth="1"/>
    <col min="3" max="4" width="9.125" customWidth="1"/>
    <col min="5" max="5" width="11.375" customWidth="1"/>
    <col min="6" max="6" width="13.5" customWidth="1"/>
    <col min="7" max="11" width="11.375" customWidth="1"/>
    <col min="12" max="12" width="4" style="305" customWidth="1"/>
    <col min="14" max="16" width="14.125" customWidth="1"/>
    <col min="17" max="19" width="12.5" customWidth="1"/>
    <col min="20" max="20" width="16" customWidth="1"/>
    <col min="21" max="23" width="12.5" customWidth="1"/>
    <col min="24" max="24" width="3.25" style="305" customWidth="1"/>
  </cols>
  <sheetData>
    <row r="1" spans="1:25" s="305" customFormat="1" ht="29.25" customHeight="1" thickTop="1" thickBot="1">
      <c r="A1" s="304" t="s">
        <v>42</v>
      </c>
      <c r="B1" s="459" t="s">
        <v>633</v>
      </c>
      <c r="C1" s="460"/>
    </row>
    <row r="2" spans="1:25" s="305" customFormat="1" ht="17.25" thickTop="1"/>
    <row r="3" spans="1:25" s="305" customFormat="1" ht="17.25" thickBot="1">
      <c r="B3" s="308" t="s">
        <v>705</v>
      </c>
      <c r="N3" s="309" t="s">
        <v>52</v>
      </c>
      <c r="W3" s="310" t="s">
        <v>43</v>
      </c>
    </row>
    <row r="4" spans="1:25" ht="16.5" customHeight="1">
      <c r="B4" s="461" t="s">
        <v>19</v>
      </c>
      <c r="C4" s="463" t="s">
        <v>706</v>
      </c>
      <c r="D4" s="463"/>
      <c r="E4" s="463"/>
      <c r="F4" s="506" t="s">
        <v>760</v>
      </c>
      <c r="G4" s="506"/>
      <c r="H4" s="506"/>
      <c r="I4" s="506"/>
      <c r="J4" s="506"/>
      <c r="K4" s="507"/>
      <c r="N4" s="485" t="s">
        <v>59</v>
      </c>
      <c r="O4" s="487" t="s">
        <v>60</v>
      </c>
      <c r="P4" s="487" t="s">
        <v>718</v>
      </c>
      <c r="Q4" s="487" t="s">
        <v>719</v>
      </c>
      <c r="R4" s="487" t="s">
        <v>683</v>
      </c>
      <c r="S4" s="502" t="s">
        <v>61</v>
      </c>
      <c r="T4" s="503"/>
      <c r="U4" s="503"/>
      <c r="V4" s="504"/>
      <c r="W4" s="500" t="s">
        <v>717</v>
      </c>
    </row>
    <row r="5" spans="1:25" ht="43.5" thickBot="1">
      <c r="B5" s="462"/>
      <c r="C5" s="464"/>
      <c r="D5" s="464"/>
      <c r="E5" s="464"/>
      <c r="F5" s="489" t="s">
        <v>761</v>
      </c>
      <c r="G5" s="490"/>
      <c r="H5" s="489" t="s">
        <v>762</v>
      </c>
      <c r="I5" s="490"/>
      <c r="J5" s="508" t="s">
        <v>763</v>
      </c>
      <c r="K5" s="509"/>
      <c r="N5" s="486"/>
      <c r="O5" s="488"/>
      <c r="P5" s="488"/>
      <c r="Q5" s="505"/>
      <c r="R5" s="505"/>
      <c r="S5" s="6" t="s">
        <v>684</v>
      </c>
      <c r="T5" s="6" t="s">
        <v>669</v>
      </c>
      <c r="U5" s="6" t="s">
        <v>668</v>
      </c>
      <c r="V5" s="6" t="s">
        <v>667</v>
      </c>
      <c r="W5" s="501"/>
    </row>
    <row r="6" spans="1:25" ht="26.25" customHeight="1" thickTop="1">
      <c r="B6" s="468" t="s">
        <v>707</v>
      </c>
      <c r="C6" s="469"/>
      <c r="D6" s="469"/>
      <c r="E6" s="470"/>
      <c r="F6" s="473">
        <f>SUM(F7:G13)</f>
        <v>0</v>
      </c>
      <c r="G6" s="476"/>
      <c r="H6" s="473">
        <f>SUM(H7:I13)</f>
        <v>0</v>
      </c>
      <c r="I6" s="476"/>
      <c r="J6" s="473">
        <f>SUM(J7:K13)</f>
        <v>0</v>
      </c>
      <c r="K6" s="474"/>
      <c r="N6" s="328" t="s">
        <v>753</v>
      </c>
      <c r="O6" s="328" t="s">
        <v>752</v>
      </c>
      <c r="P6" s="328" t="s">
        <v>53</v>
      </c>
      <c r="Q6" s="612">
        <v>20000000000</v>
      </c>
      <c r="R6" s="236">
        <f t="shared" ref="R6:R12" si="0">Q6*지원비율</f>
        <v>10000000000</v>
      </c>
      <c r="S6" s="236">
        <f>Q6-R6</f>
        <v>10000000000</v>
      </c>
      <c r="T6" s="615"/>
      <c r="U6" s="615">
        <v>2000000000</v>
      </c>
      <c r="V6" s="236">
        <f>S6+T6+U6</f>
        <v>12000000000</v>
      </c>
      <c r="W6" s="237">
        <f>R6+V6</f>
        <v>22000000000</v>
      </c>
    </row>
    <row r="7" spans="1:25" ht="17.25" customHeight="1">
      <c r="B7" s="329"/>
      <c r="C7" s="465" t="s">
        <v>764</v>
      </c>
      <c r="D7" s="466"/>
      <c r="E7" s="467"/>
      <c r="F7" s="473"/>
      <c r="G7" s="476"/>
      <c r="H7" s="473"/>
      <c r="I7" s="476"/>
      <c r="J7" s="473"/>
      <c r="K7" s="474"/>
      <c r="N7" s="510" t="s">
        <v>754</v>
      </c>
      <c r="O7" s="328" t="s">
        <v>756</v>
      </c>
      <c r="P7" s="328" t="s">
        <v>54</v>
      </c>
      <c r="Q7" s="613">
        <v>0</v>
      </c>
      <c r="R7" s="239">
        <f t="shared" si="0"/>
        <v>0</v>
      </c>
      <c r="S7" s="239">
        <f t="shared" ref="S7:S12" si="1">Q7-R7</f>
        <v>0</v>
      </c>
      <c r="T7" s="616"/>
      <c r="U7" s="617">
        <v>0</v>
      </c>
      <c r="V7" s="239">
        <f t="shared" ref="V7:V12" si="2">S7+T7+U7</f>
        <v>0</v>
      </c>
      <c r="W7" s="240">
        <f t="shared" ref="W7:W12" si="3">R7+V7</f>
        <v>0</v>
      </c>
    </row>
    <row r="8" spans="1:25" ht="17.25" customHeight="1">
      <c r="B8" s="329"/>
      <c r="C8" s="465" t="s">
        <v>765</v>
      </c>
      <c r="D8" s="466"/>
      <c r="E8" s="467"/>
      <c r="F8" s="473"/>
      <c r="G8" s="476"/>
      <c r="H8" s="473"/>
      <c r="I8" s="476"/>
      <c r="J8" s="473"/>
      <c r="K8" s="474"/>
      <c r="N8" s="510"/>
      <c r="O8" s="328" t="s">
        <v>757</v>
      </c>
      <c r="P8" s="328" t="s">
        <v>55</v>
      </c>
      <c r="Q8" s="614">
        <v>30000000</v>
      </c>
      <c r="R8" s="242">
        <f t="shared" si="0"/>
        <v>15000000</v>
      </c>
      <c r="S8" s="242">
        <f t="shared" si="1"/>
        <v>15000000</v>
      </c>
      <c r="T8" s="618">
        <v>100000000</v>
      </c>
      <c r="U8" s="618">
        <v>13000000</v>
      </c>
      <c r="V8" s="242">
        <f t="shared" si="2"/>
        <v>128000000</v>
      </c>
      <c r="W8" s="243">
        <f t="shared" si="3"/>
        <v>143000000</v>
      </c>
    </row>
    <row r="9" spans="1:25" ht="17.25" customHeight="1">
      <c r="B9" s="329"/>
      <c r="C9" s="465" t="s">
        <v>766</v>
      </c>
      <c r="D9" s="466"/>
      <c r="E9" s="467"/>
      <c r="F9" s="473"/>
      <c r="G9" s="476"/>
      <c r="H9" s="473"/>
      <c r="I9" s="476"/>
      <c r="J9" s="473"/>
      <c r="K9" s="474"/>
      <c r="N9" s="510"/>
      <c r="O9" s="328" t="s">
        <v>758</v>
      </c>
      <c r="P9" s="328" t="s">
        <v>56</v>
      </c>
      <c r="Q9" s="327">
        <v>0</v>
      </c>
      <c r="R9" s="242">
        <f t="shared" si="0"/>
        <v>0</v>
      </c>
      <c r="S9" s="242">
        <f t="shared" ref="S9:S11" si="4">Q9-R9</f>
        <v>0</v>
      </c>
      <c r="T9" s="618"/>
      <c r="U9" s="618">
        <v>0</v>
      </c>
      <c r="V9" s="242">
        <f t="shared" ref="V9:V11" si="5">S9+T9+U9</f>
        <v>0</v>
      </c>
      <c r="W9" s="243">
        <f t="shared" ref="W9:W11" si="6">R9+V9</f>
        <v>0</v>
      </c>
    </row>
    <row r="10" spans="1:25" ht="17.25" customHeight="1">
      <c r="B10" s="329"/>
      <c r="C10" s="465" t="s">
        <v>767</v>
      </c>
      <c r="D10" s="466"/>
      <c r="E10" s="467"/>
      <c r="F10" s="473"/>
      <c r="G10" s="476"/>
      <c r="H10" s="473"/>
      <c r="I10" s="476"/>
      <c r="J10" s="473"/>
      <c r="K10" s="474"/>
      <c r="N10" s="328" t="s">
        <v>755</v>
      </c>
      <c r="O10" s="328" t="s">
        <v>759</v>
      </c>
      <c r="P10" s="328" t="s">
        <v>49</v>
      </c>
      <c r="Q10" s="327">
        <v>0</v>
      </c>
      <c r="R10" s="242">
        <f t="shared" si="0"/>
        <v>0</v>
      </c>
      <c r="S10" s="242">
        <f t="shared" si="4"/>
        <v>0</v>
      </c>
      <c r="T10" s="241"/>
      <c r="U10" s="241">
        <v>0</v>
      </c>
      <c r="V10" s="242">
        <f t="shared" si="5"/>
        <v>0</v>
      </c>
      <c r="W10" s="243">
        <f t="shared" si="6"/>
        <v>0</v>
      </c>
    </row>
    <row r="11" spans="1:25" ht="17.25" customHeight="1">
      <c r="B11" s="329"/>
      <c r="C11" s="465" t="s">
        <v>768</v>
      </c>
      <c r="D11" s="466"/>
      <c r="E11" s="467"/>
      <c r="F11" s="473"/>
      <c r="G11" s="476"/>
      <c r="H11" s="473"/>
      <c r="I11" s="476"/>
      <c r="J11" s="473"/>
      <c r="K11" s="474"/>
      <c r="N11" s="328" t="s">
        <v>49</v>
      </c>
      <c r="O11" s="328" t="s">
        <v>49</v>
      </c>
      <c r="P11" s="328" t="s">
        <v>49</v>
      </c>
      <c r="Q11" s="327">
        <v>0</v>
      </c>
      <c r="R11" s="242">
        <f t="shared" si="0"/>
        <v>0</v>
      </c>
      <c r="S11" s="242">
        <f t="shared" si="4"/>
        <v>0</v>
      </c>
      <c r="T11" s="241"/>
      <c r="U11" s="241">
        <v>0</v>
      </c>
      <c r="V11" s="242">
        <f t="shared" si="5"/>
        <v>0</v>
      </c>
      <c r="W11" s="243">
        <f t="shared" si="6"/>
        <v>0</v>
      </c>
    </row>
    <row r="12" spans="1:25" ht="17.25" thickBot="1">
      <c r="B12" s="329"/>
      <c r="C12" s="513"/>
      <c r="D12" s="513"/>
      <c r="E12" s="513"/>
      <c r="F12" s="473"/>
      <c r="G12" s="476"/>
      <c r="H12" s="473"/>
      <c r="I12" s="476"/>
      <c r="J12" s="473"/>
      <c r="K12" s="474"/>
      <c r="N12" s="328" t="s">
        <v>49</v>
      </c>
      <c r="O12" s="328" t="s">
        <v>49</v>
      </c>
      <c r="P12" s="328" t="s">
        <v>49</v>
      </c>
      <c r="Q12" s="327">
        <v>0</v>
      </c>
      <c r="R12" s="239">
        <f t="shared" si="0"/>
        <v>0</v>
      </c>
      <c r="S12" s="239">
        <f t="shared" si="1"/>
        <v>0</v>
      </c>
      <c r="T12" s="238"/>
      <c r="U12" s="238">
        <v>0</v>
      </c>
      <c r="V12" s="239">
        <f t="shared" si="2"/>
        <v>0</v>
      </c>
      <c r="W12" s="240">
        <f t="shared" si="3"/>
        <v>0</v>
      </c>
    </row>
    <row r="13" spans="1:25" ht="17.25" thickBot="1">
      <c r="B13" s="330"/>
      <c r="C13" s="514"/>
      <c r="D13" s="514"/>
      <c r="E13" s="514"/>
      <c r="F13" s="477" t="s">
        <v>0</v>
      </c>
      <c r="G13" s="478"/>
      <c r="H13" s="477"/>
      <c r="I13" s="478"/>
      <c r="J13" s="477" t="s">
        <v>0</v>
      </c>
      <c r="K13" s="479"/>
      <c r="N13" s="524" t="s">
        <v>41</v>
      </c>
      <c r="O13" s="525"/>
      <c r="P13" s="526"/>
      <c r="Q13" s="266">
        <f t="shared" ref="Q13:W13" si="7">SUM(Q6:Q12)</f>
        <v>20030000000</v>
      </c>
      <c r="R13" s="266">
        <f t="shared" si="7"/>
        <v>10015000000</v>
      </c>
      <c r="S13" s="266">
        <f t="shared" si="7"/>
        <v>10015000000</v>
      </c>
      <c r="T13" s="266">
        <f t="shared" si="7"/>
        <v>100000000</v>
      </c>
      <c r="U13" s="266">
        <f t="shared" si="7"/>
        <v>2013000000</v>
      </c>
      <c r="V13" s="266">
        <f t="shared" si="7"/>
        <v>12128000000</v>
      </c>
      <c r="W13" s="267">
        <f t="shared" si="7"/>
        <v>22143000000</v>
      </c>
    </row>
    <row r="14" spans="1:25" ht="18" thickTop="1" thickBot="1">
      <c r="B14" s="311" t="s">
        <v>50</v>
      </c>
      <c r="C14" s="305"/>
      <c r="D14" s="305"/>
      <c r="E14" s="305"/>
      <c r="F14" s="305"/>
      <c r="G14" s="305"/>
      <c r="H14" s="305"/>
      <c r="I14" s="305"/>
      <c r="J14" s="305"/>
      <c r="K14" s="305"/>
      <c r="N14" s="527" t="s">
        <v>670</v>
      </c>
      <c r="O14" s="528"/>
      <c r="P14" s="529"/>
      <c r="Q14" s="268">
        <f>SUM(Q6:Q12)</f>
        <v>20030000000</v>
      </c>
      <c r="R14" s="268">
        <f>ROUNDDOWN(IF('설비 단위 계획서'!$V$18,IF(SUM(R6:R12)&gt;30*10^9,30*10^9,SUM(R6:R12)),IF(SUM(R6:R12)&gt;6*10^9,6*10^9,SUM(R6:R12))),-3)</f>
        <v>6000000000</v>
      </c>
      <c r="S14" s="268">
        <f>Q14-R14</f>
        <v>14030000000</v>
      </c>
      <c r="T14" s="268">
        <f>SUM(T6:T12)</f>
        <v>100000000</v>
      </c>
      <c r="U14" s="268">
        <f>SUM(U6:U12)</f>
        <v>2013000000</v>
      </c>
      <c r="V14" s="268">
        <f>SUM(S14:U14)</f>
        <v>16143000000</v>
      </c>
      <c r="W14" s="269">
        <f>SUM(R14,V14)</f>
        <v>22143000000</v>
      </c>
    </row>
    <row r="15" spans="1:25" ht="17.25" thickTop="1">
      <c r="B15" s="311" t="s">
        <v>51</v>
      </c>
      <c r="C15" s="305"/>
      <c r="D15" s="305"/>
      <c r="E15" s="305"/>
      <c r="F15" s="305"/>
      <c r="G15" s="305"/>
      <c r="H15" s="305"/>
      <c r="I15" s="305"/>
      <c r="J15" s="305"/>
      <c r="K15" s="305"/>
      <c r="N15" s="316" t="s">
        <v>808</v>
      </c>
      <c r="O15" s="305"/>
      <c r="P15" s="305"/>
      <c r="Q15" s="305"/>
      <c r="R15" s="305"/>
      <c r="S15" s="305"/>
      <c r="T15" s="305"/>
      <c r="U15" s="305"/>
      <c r="V15" s="305"/>
      <c r="W15" s="305"/>
      <c r="Y15" s="305"/>
    </row>
    <row r="16" spans="1:25" ht="18" customHeight="1">
      <c r="B16" s="312" t="s">
        <v>0</v>
      </c>
      <c r="C16" s="305"/>
      <c r="D16" s="305"/>
      <c r="E16" s="305"/>
      <c r="F16" s="305"/>
      <c r="G16" s="305"/>
      <c r="H16" s="305"/>
      <c r="I16" s="305"/>
      <c r="J16" s="305"/>
      <c r="K16" s="305"/>
      <c r="N16" s="316" t="s">
        <v>809</v>
      </c>
      <c r="O16" s="305"/>
      <c r="P16" s="305"/>
      <c r="Q16" s="305"/>
      <c r="R16" s="305"/>
      <c r="S16" s="305"/>
      <c r="T16" s="305"/>
      <c r="U16" s="305"/>
      <c r="V16" s="305"/>
      <c r="W16" s="305"/>
      <c r="Y16" s="305"/>
    </row>
    <row r="17" spans="2:25">
      <c r="B17" s="308" t="s">
        <v>708</v>
      </c>
      <c r="C17" s="305"/>
      <c r="D17" s="305"/>
      <c r="E17" s="305"/>
      <c r="F17" s="305"/>
      <c r="G17" s="305"/>
      <c r="H17" s="305"/>
      <c r="I17" s="305"/>
      <c r="J17" s="305"/>
      <c r="K17" s="305"/>
      <c r="N17" s="314" t="s">
        <v>57</v>
      </c>
      <c r="O17" s="305"/>
      <c r="P17" s="305"/>
      <c r="Q17" s="305"/>
      <c r="R17" s="305"/>
      <c r="S17" s="305"/>
      <c r="T17" s="305"/>
      <c r="U17" s="305"/>
      <c r="V17" s="305"/>
      <c r="W17" s="305"/>
      <c r="Y17" s="305"/>
    </row>
    <row r="18" spans="2:25" ht="17.25" thickBot="1">
      <c r="B18" s="305"/>
      <c r="C18" s="305"/>
      <c r="D18" s="305"/>
      <c r="E18" s="305"/>
      <c r="F18" s="305"/>
      <c r="G18" s="305"/>
      <c r="H18" s="305"/>
      <c r="I18" s="305"/>
      <c r="J18" s="305"/>
      <c r="K18" s="313" t="s">
        <v>709</v>
      </c>
      <c r="N18" s="314" t="s">
        <v>58</v>
      </c>
      <c r="O18" s="305"/>
      <c r="P18" s="305"/>
      <c r="Q18" s="305"/>
      <c r="R18" s="305"/>
      <c r="S18" s="305"/>
      <c r="T18" s="305"/>
      <c r="U18" s="305"/>
      <c r="V18" s="305"/>
      <c r="W18" s="305"/>
      <c r="Y18" s="305"/>
    </row>
    <row r="19" spans="2:25">
      <c r="B19" s="511" t="s">
        <v>711</v>
      </c>
      <c r="C19" s="463" t="s">
        <v>710</v>
      </c>
      <c r="D19" s="463"/>
      <c r="E19" s="463"/>
      <c r="F19" s="463" t="s">
        <v>810</v>
      </c>
      <c r="G19" s="463"/>
      <c r="H19" s="463"/>
      <c r="I19" s="463" t="s">
        <v>813</v>
      </c>
      <c r="J19" s="463"/>
      <c r="K19" s="47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Y19" s="305"/>
    </row>
    <row r="20" spans="2:25">
      <c r="B20" s="515"/>
      <c r="C20" s="464"/>
      <c r="D20" s="464"/>
      <c r="E20" s="464"/>
      <c r="F20" s="464" t="s">
        <v>44</v>
      </c>
      <c r="G20" s="464"/>
      <c r="H20" s="318" t="s">
        <v>45</v>
      </c>
      <c r="I20" s="464" t="s">
        <v>44</v>
      </c>
      <c r="J20" s="464"/>
      <c r="K20" s="170" t="s">
        <v>45</v>
      </c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Y20" s="305"/>
    </row>
    <row r="21" spans="2:25" ht="21.75" customHeight="1">
      <c r="B21" s="317" t="s">
        <v>707</v>
      </c>
      <c r="C21" s="498"/>
      <c r="D21" s="498"/>
      <c r="E21" s="498"/>
      <c r="F21" s="493"/>
      <c r="G21" s="493"/>
      <c r="H21" s="331">
        <f>IFERROR(F21/C21,0)</f>
        <v>0</v>
      </c>
      <c r="I21" s="493"/>
      <c r="J21" s="493"/>
      <c r="K21" s="332">
        <f>IFERROR(I21/C21,0)</f>
        <v>0</v>
      </c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Y21" s="305"/>
    </row>
    <row r="22" spans="2:25" ht="28.5" customHeight="1">
      <c r="B22" s="317" t="s">
        <v>712</v>
      </c>
      <c r="C22" s="497"/>
      <c r="D22" s="497"/>
      <c r="E22" s="497"/>
      <c r="F22" s="493"/>
      <c r="G22" s="493"/>
      <c r="H22" s="521"/>
      <c r="I22" s="493"/>
      <c r="J22" s="493"/>
      <c r="K22" s="520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Y22" s="305"/>
    </row>
    <row r="23" spans="2:25" ht="28.5" customHeight="1">
      <c r="B23" s="317" t="s">
        <v>61</v>
      </c>
      <c r="C23" s="498"/>
      <c r="D23" s="498"/>
      <c r="E23" s="498"/>
      <c r="F23" s="493"/>
      <c r="G23" s="493"/>
      <c r="H23" s="521"/>
      <c r="I23" s="493"/>
      <c r="J23" s="493"/>
      <c r="K23" s="520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Y23" s="305"/>
    </row>
    <row r="24" spans="2:25" ht="28.5" customHeight="1" thickBot="1">
      <c r="B24" s="516" t="s">
        <v>814</v>
      </c>
      <c r="C24" s="517"/>
      <c r="D24" s="517"/>
      <c r="E24" s="517"/>
      <c r="F24" s="522"/>
      <c r="G24" s="522"/>
      <c r="H24" s="522"/>
      <c r="I24" s="522"/>
      <c r="J24" s="522"/>
      <c r="K24" s="523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Y24" s="305"/>
    </row>
    <row r="25" spans="2:25" ht="28.5" customHeight="1">
      <c r="B25" s="311" t="s">
        <v>713</v>
      </c>
      <c r="C25" s="305"/>
      <c r="D25" s="305"/>
      <c r="E25" s="305"/>
      <c r="F25" s="305"/>
      <c r="G25" s="305"/>
      <c r="H25" s="305"/>
      <c r="I25" s="305"/>
      <c r="J25" s="305"/>
      <c r="K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Y25" s="305"/>
    </row>
    <row r="26" spans="2:25">
      <c r="B26" s="311"/>
      <c r="C26" s="305"/>
      <c r="D26" s="305"/>
      <c r="E26" s="305"/>
      <c r="F26" s="305"/>
      <c r="G26" s="305"/>
      <c r="H26" s="305"/>
      <c r="I26" s="305"/>
      <c r="J26" s="305"/>
      <c r="K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Y26" s="305"/>
    </row>
    <row r="27" spans="2:25" s="305" customFormat="1">
      <c r="B27" s="308" t="s">
        <v>714</v>
      </c>
    </row>
    <row r="28" spans="2:25" s="305" customFormat="1" ht="17.25" thickBot="1">
      <c r="K28" s="313" t="s">
        <v>709</v>
      </c>
    </row>
    <row r="29" spans="2:25" s="305" customFormat="1">
      <c r="B29" s="511" t="s">
        <v>638</v>
      </c>
      <c r="C29" s="484" t="s">
        <v>639</v>
      </c>
      <c r="D29" s="484"/>
      <c r="E29" s="484" t="s">
        <v>781</v>
      </c>
      <c r="F29" s="484"/>
      <c r="G29" s="484"/>
      <c r="H29" s="484"/>
      <c r="I29" s="484" t="s">
        <v>62</v>
      </c>
      <c r="J29" s="484"/>
      <c r="K29" s="518"/>
      <c r="N29" s="315"/>
    </row>
    <row r="30" spans="2:25" ht="26.25" customHeight="1" thickBot="1">
      <c r="B30" s="512"/>
      <c r="C30" s="494"/>
      <c r="D30" s="494"/>
      <c r="E30" s="494" t="s">
        <v>716</v>
      </c>
      <c r="F30" s="494"/>
      <c r="G30" s="494" t="s">
        <v>61</v>
      </c>
      <c r="H30" s="494"/>
      <c r="I30" s="494"/>
      <c r="J30" s="494"/>
      <c r="K30" s="519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Y30" s="305"/>
    </row>
    <row r="31" spans="2:25" ht="27" customHeight="1" thickTop="1">
      <c r="B31" s="181" t="s">
        <v>47</v>
      </c>
      <c r="C31" s="495">
        <f>SUM(C32:C35)</f>
        <v>0</v>
      </c>
      <c r="D31" s="495"/>
      <c r="E31" s="495">
        <f>SUM(E32:F35)</f>
        <v>0</v>
      </c>
      <c r="F31" s="495"/>
      <c r="G31" s="495">
        <f>SUM(G32:H35)</f>
        <v>0</v>
      </c>
      <c r="H31" s="495"/>
      <c r="I31" s="480"/>
      <c r="J31" s="480"/>
      <c r="K31" s="481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Y31" s="305"/>
    </row>
    <row r="32" spans="2:25" ht="44.25" customHeight="1">
      <c r="B32" s="262" t="s">
        <v>48</v>
      </c>
      <c r="C32" s="496"/>
      <c r="D32" s="496"/>
      <c r="E32" s="496" t="s">
        <v>0</v>
      </c>
      <c r="F32" s="496"/>
      <c r="G32" s="499"/>
      <c r="H32" s="499"/>
      <c r="I32" s="482"/>
      <c r="J32" s="482"/>
      <c r="K32" s="483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Y32" s="305"/>
    </row>
    <row r="33" spans="2:25" ht="44.25" customHeight="1">
      <c r="B33" s="262" t="s">
        <v>666</v>
      </c>
      <c r="C33" s="496"/>
      <c r="D33" s="496"/>
      <c r="E33" s="496" t="s">
        <v>0</v>
      </c>
      <c r="F33" s="496"/>
      <c r="G33" s="499"/>
      <c r="H33" s="499"/>
      <c r="I33" s="482"/>
      <c r="J33" s="482"/>
      <c r="K33" s="483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Y33" s="305"/>
    </row>
    <row r="34" spans="2:25" ht="44.25" customHeight="1">
      <c r="B34" s="262" t="s">
        <v>715</v>
      </c>
      <c r="C34" s="496"/>
      <c r="D34" s="496"/>
      <c r="E34" s="496" t="s">
        <v>0</v>
      </c>
      <c r="F34" s="496"/>
      <c r="G34" s="499"/>
      <c r="H34" s="499"/>
      <c r="I34" s="482"/>
      <c r="J34" s="482"/>
      <c r="K34" s="483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Y34" s="305"/>
    </row>
    <row r="35" spans="2:25" ht="44.25" customHeight="1" thickBot="1">
      <c r="B35" s="263" t="s">
        <v>49</v>
      </c>
      <c r="C35" s="491"/>
      <c r="D35" s="491"/>
      <c r="E35" s="491" t="s">
        <v>0</v>
      </c>
      <c r="F35" s="491"/>
      <c r="G35" s="492"/>
      <c r="H35" s="492"/>
      <c r="I35" s="471"/>
      <c r="J35" s="471"/>
      <c r="K35" s="472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Y35" s="305"/>
    </row>
    <row r="36" spans="2:25" s="305" customFormat="1"/>
    <row r="37" spans="2:25" s="305" customFormat="1">
      <c r="N37"/>
      <c r="O37"/>
      <c r="P37"/>
      <c r="Q37"/>
      <c r="R37"/>
      <c r="S37"/>
      <c r="T37"/>
      <c r="U37"/>
      <c r="V37"/>
      <c r="W37"/>
      <c r="Y37"/>
    </row>
    <row r="42" spans="2:25" ht="42" customHeight="1"/>
    <row r="43" spans="2:25" ht="42" customHeight="1"/>
    <row r="44" spans="2:25" ht="42" customHeight="1"/>
    <row r="45" spans="2:25" ht="42" customHeight="1"/>
    <row r="46" spans="2:25" ht="42" customHeight="1"/>
    <row r="47" spans="2:25" ht="42" customHeight="1"/>
    <row r="48" spans="2:25" ht="42" customHeight="1"/>
  </sheetData>
  <mergeCells count="94">
    <mergeCell ref="F13:G13"/>
    <mergeCell ref="N13:P13"/>
    <mergeCell ref="N14:P14"/>
    <mergeCell ref="I22:J22"/>
    <mergeCell ref="I23:J23"/>
    <mergeCell ref="F20:G20"/>
    <mergeCell ref="C34:D34"/>
    <mergeCell ref="E34:F34"/>
    <mergeCell ref="G34:H34"/>
    <mergeCell ref="I34:K34"/>
    <mergeCell ref="F21:G21"/>
    <mergeCell ref="I21:J21"/>
    <mergeCell ref="C21:E21"/>
    <mergeCell ref="I29:K30"/>
    <mergeCell ref="G30:H30"/>
    <mergeCell ref="G31:H31"/>
    <mergeCell ref="G32:H32"/>
    <mergeCell ref="K22:K23"/>
    <mergeCell ref="H22:H23"/>
    <mergeCell ref="F24:K24"/>
    <mergeCell ref="B29:B30"/>
    <mergeCell ref="C9:E9"/>
    <mergeCell ref="C10:E10"/>
    <mergeCell ref="C11:E11"/>
    <mergeCell ref="C12:E12"/>
    <mergeCell ref="C13:E13"/>
    <mergeCell ref="B19:B20"/>
    <mergeCell ref="C19:E20"/>
    <mergeCell ref="B24:E24"/>
    <mergeCell ref="W4:W5"/>
    <mergeCell ref="S4:V4"/>
    <mergeCell ref="R4:R5"/>
    <mergeCell ref="H8:I8"/>
    <mergeCell ref="J8:K8"/>
    <mergeCell ref="F4:K4"/>
    <mergeCell ref="Q4:Q5"/>
    <mergeCell ref="F6:G6"/>
    <mergeCell ref="F7:G7"/>
    <mergeCell ref="F8:G8"/>
    <mergeCell ref="J5:K5"/>
    <mergeCell ref="H5:I5"/>
    <mergeCell ref="H7:I7"/>
    <mergeCell ref="J6:K6"/>
    <mergeCell ref="H6:I6"/>
    <mergeCell ref="N7:N9"/>
    <mergeCell ref="C35:D35"/>
    <mergeCell ref="E35:F35"/>
    <mergeCell ref="G35:H35"/>
    <mergeCell ref="F23:G23"/>
    <mergeCell ref="F22:G22"/>
    <mergeCell ref="C29:D30"/>
    <mergeCell ref="C31:D31"/>
    <mergeCell ref="C32:D32"/>
    <mergeCell ref="C33:D33"/>
    <mergeCell ref="E30:F30"/>
    <mergeCell ref="E31:F31"/>
    <mergeCell ref="E32:F32"/>
    <mergeCell ref="E33:F33"/>
    <mergeCell ref="C22:E22"/>
    <mergeCell ref="C23:E23"/>
    <mergeCell ref="G33:H33"/>
    <mergeCell ref="N4:N5"/>
    <mergeCell ref="O4:O5"/>
    <mergeCell ref="P4:P5"/>
    <mergeCell ref="F5:G5"/>
    <mergeCell ref="F12:G12"/>
    <mergeCell ref="F9:G9"/>
    <mergeCell ref="F10:G10"/>
    <mergeCell ref="F11:G11"/>
    <mergeCell ref="J9:K9"/>
    <mergeCell ref="H9:I9"/>
    <mergeCell ref="H10:I10"/>
    <mergeCell ref="I35:K35"/>
    <mergeCell ref="J7:K7"/>
    <mergeCell ref="F19:H19"/>
    <mergeCell ref="I19:K19"/>
    <mergeCell ref="J10:K10"/>
    <mergeCell ref="H11:I11"/>
    <mergeCell ref="H12:I12"/>
    <mergeCell ref="H13:I13"/>
    <mergeCell ref="J13:K13"/>
    <mergeCell ref="J12:K12"/>
    <mergeCell ref="J11:K11"/>
    <mergeCell ref="I31:K31"/>
    <mergeCell ref="I32:K32"/>
    <mergeCell ref="I33:K33"/>
    <mergeCell ref="E29:H29"/>
    <mergeCell ref="I20:J20"/>
    <mergeCell ref="B1:C1"/>
    <mergeCell ref="B4:B5"/>
    <mergeCell ref="C4:E5"/>
    <mergeCell ref="C7:E7"/>
    <mergeCell ref="C8:E8"/>
    <mergeCell ref="B6:E6"/>
  </mergeCells>
  <phoneticPr fontId="2" type="noConversion"/>
  <pageMargins left="0.7" right="0.7" top="0.75" bottom="0.75" header="0.3" footer="0.3"/>
  <pageSetup paperSize="9" scale="5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F282"/>
  <sheetViews>
    <sheetView zoomScale="70" zoomScaleNormal="70" workbookViewId="0">
      <selection activeCell="C25" sqref="C25:E26"/>
    </sheetView>
  </sheetViews>
  <sheetFormatPr defaultRowHeight="16.5"/>
  <cols>
    <col min="1" max="1" width="5.375" customWidth="1"/>
    <col min="2" max="5" width="20.5" customWidth="1"/>
    <col min="8" max="8" width="10.125" bestFit="1" customWidth="1"/>
    <col min="9" max="9" width="10.75" bestFit="1" customWidth="1"/>
    <col min="10" max="12" width="15.125" customWidth="1"/>
    <col min="13" max="13" width="27.5" customWidth="1"/>
    <col min="14" max="15" width="16.875" bestFit="1" customWidth="1"/>
    <col min="16" max="16" width="16.75" bestFit="1" customWidth="1"/>
    <col min="17" max="19" width="16.125" customWidth="1"/>
    <col min="20" max="20" width="15" customWidth="1"/>
    <col min="24" max="24" width="16.625" customWidth="1"/>
    <col min="25" max="25" width="18.375" customWidth="1"/>
    <col min="30" max="30" width="20" hidden="1" customWidth="1"/>
    <col min="31" max="31" width="0" hidden="1" customWidth="1"/>
    <col min="32" max="32" width="18.375" hidden="1" customWidth="1"/>
  </cols>
  <sheetData>
    <row r="1" spans="2:32">
      <c r="B1" s="152">
        <v>1</v>
      </c>
      <c r="C1" s="152">
        <v>2</v>
      </c>
      <c r="D1" s="152">
        <v>3</v>
      </c>
      <c r="E1" s="152">
        <v>4</v>
      </c>
    </row>
    <row r="2" spans="2:32" s="153" customFormat="1" ht="26.25">
      <c r="B2" s="15" t="s">
        <v>492</v>
      </c>
      <c r="C2" s="10"/>
      <c r="D2" s="10"/>
      <c r="E2" s="10"/>
      <c r="G2" s="15" t="s">
        <v>493</v>
      </c>
      <c r="J2" s="154"/>
      <c r="K2" s="154"/>
      <c r="L2" s="154"/>
      <c r="M2" s="155"/>
      <c r="N2" s="155"/>
    </row>
    <row r="3" spans="2:32" s="153" customFormat="1" ht="33" customHeight="1" thickBot="1">
      <c r="B3" s="10"/>
      <c r="C3" s="10"/>
      <c r="D3" s="10"/>
      <c r="E3" s="10"/>
      <c r="G3" s="15"/>
      <c r="J3" s="154"/>
      <c r="K3" s="154"/>
      <c r="L3" s="154"/>
      <c r="M3" s="155"/>
      <c r="N3" s="155"/>
      <c r="T3" s="156"/>
      <c r="X3" s="153" t="s">
        <v>494</v>
      </c>
    </row>
    <row r="4" spans="2:32" s="153" customFormat="1" ht="16.5" customHeight="1">
      <c r="B4" s="565" t="s">
        <v>673</v>
      </c>
      <c r="C4" s="566"/>
      <c r="D4" s="566"/>
      <c r="E4" s="567"/>
      <c r="G4" s="568" t="s">
        <v>496</v>
      </c>
      <c r="H4" s="563" t="s">
        <v>497</v>
      </c>
      <c r="I4" s="563" t="s">
        <v>498</v>
      </c>
      <c r="J4" s="563" t="s">
        <v>499</v>
      </c>
      <c r="K4" s="561" t="s">
        <v>635</v>
      </c>
      <c r="L4" s="561" t="s">
        <v>500</v>
      </c>
      <c r="M4" s="563" t="s">
        <v>501</v>
      </c>
      <c r="N4" s="563" t="s">
        <v>502</v>
      </c>
      <c r="O4" s="563" t="s">
        <v>503</v>
      </c>
      <c r="P4" s="563" t="s">
        <v>504</v>
      </c>
      <c r="Q4" s="563"/>
      <c r="R4" s="563"/>
      <c r="S4" s="563"/>
      <c r="T4" s="553" t="s">
        <v>505</v>
      </c>
      <c r="X4" s="153" t="s">
        <v>495</v>
      </c>
      <c r="AD4" s="158" t="s">
        <v>507</v>
      </c>
      <c r="AF4" s="157" t="s">
        <v>508</v>
      </c>
    </row>
    <row r="5" spans="2:32" s="153" customFormat="1">
      <c r="B5" s="244" t="s">
        <v>674</v>
      </c>
      <c r="C5" s="245" t="s">
        <v>509</v>
      </c>
      <c r="D5" s="245" t="s">
        <v>510</v>
      </c>
      <c r="E5" s="246" t="s">
        <v>687</v>
      </c>
      <c r="G5" s="569"/>
      <c r="H5" s="564"/>
      <c r="I5" s="564"/>
      <c r="J5" s="564"/>
      <c r="K5" s="562"/>
      <c r="L5" s="562"/>
      <c r="M5" s="564"/>
      <c r="N5" s="564"/>
      <c r="O5" s="564"/>
      <c r="P5" s="159" t="s">
        <v>685</v>
      </c>
      <c r="Q5" s="160" t="s">
        <v>672</v>
      </c>
      <c r="R5" s="160" t="s">
        <v>511</v>
      </c>
      <c r="S5" s="160" t="s">
        <v>512</v>
      </c>
      <c r="T5" s="554"/>
      <c r="X5" s="157" t="s">
        <v>506</v>
      </c>
      <c r="Y5" s="157" t="s">
        <v>46</v>
      </c>
      <c r="AD5" s="158" t="s">
        <v>515</v>
      </c>
      <c r="AF5" s="157" t="s">
        <v>516</v>
      </c>
    </row>
    <row r="6" spans="2:32" s="153" customFormat="1" ht="33.75" thickBot="1">
      <c r="B6" s="247" t="s">
        <v>517</v>
      </c>
      <c r="C6" s="248" t="s">
        <v>518</v>
      </c>
      <c r="D6" s="248" t="s">
        <v>519</v>
      </c>
      <c r="E6" s="249" t="s">
        <v>520</v>
      </c>
      <c r="G6" s="177"/>
      <c r="H6" s="178"/>
      <c r="I6" s="178"/>
      <c r="J6" s="178"/>
      <c r="K6" s="179"/>
      <c r="L6" s="179"/>
      <c r="M6" s="178"/>
      <c r="N6" s="270" t="s">
        <v>521</v>
      </c>
      <c r="O6" s="270" t="s">
        <v>686</v>
      </c>
      <c r="P6" s="271" t="s">
        <v>522</v>
      </c>
      <c r="Q6" s="270"/>
      <c r="R6" s="270"/>
      <c r="S6" s="270" t="s">
        <v>523</v>
      </c>
      <c r="T6" s="272" t="s">
        <v>524</v>
      </c>
      <c r="X6" s="544" t="s">
        <v>513</v>
      </c>
      <c r="Y6" s="157" t="s">
        <v>514</v>
      </c>
      <c r="AD6" s="158" t="s">
        <v>526</v>
      </c>
      <c r="AF6" s="157" t="s">
        <v>527</v>
      </c>
    </row>
    <row r="7" spans="2:32" s="153" customFormat="1" ht="21" thickBot="1">
      <c r="B7" s="250">
        <f>E7+D7</f>
        <v>20130000000</v>
      </c>
      <c r="C7" s="251">
        <f>N7</f>
        <v>20030000000</v>
      </c>
      <c r="D7" s="251">
        <f>P7+Q7</f>
        <v>14130000000</v>
      </c>
      <c r="E7" s="252">
        <f>O7</f>
        <v>6000000000</v>
      </c>
      <c r="G7" s="555" t="s">
        <v>671</v>
      </c>
      <c r="H7" s="556"/>
      <c r="I7" s="556"/>
      <c r="J7" s="556"/>
      <c r="K7" s="556"/>
      <c r="L7" s="556"/>
      <c r="M7" s="557"/>
      <c r="N7" s="273">
        <f>N8</f>
        <v>20030000000</v>
      </c>
      <c r="O7" s="273">
        <f>ROUNDDOWN(IF('설비 단위 계획서'!$V$18,IF(O8&gt;30*10^9,30*10^9,O8),IF(O8&gt;6*10^9,6*10^9,O8)),-3)</f>
        <v>6000000000</v>
      </c>
      <c r="P7" s="273">
        <f>N7-O7</f>
        <v>14030000000</v>
      </c>
      <c r="Q7" s="273">
        <f>Q8</f>
        <v>100000000</v>
      </c>
      <c r="R7" s="273">
        <f>R8</f>
        <v>2013000000</v>
      </c>
      <c r="S7" s="273">
        <f>SUM(P7:R7)</f>
        <v>16143000000</v>
      </c>
      <c r="T7" s="274">
        <f>SUM(S7,O7)</f>
        <v>22143000000</v>
      </c>
      <c r="X7" s="545"/>
      <c r="Y7" s="157" t="s">
        <v>525</v>
      </c>
      <c r="AD7" s="158" t="s">
        <v>513</v>
      </c>
      <c r="AF7" s="157" t="s">
        <v>529</v>
      </c>
    </row>
    <row r="8" spans="2:32" s="153" customFormat="1" ht="16.5" customHeight="1" thickBot="1">
      <c r="B8"/>
      <c r="C8"/>
      <c r="D8"/>
      <c r="E8"/>
      <c r="G8" s="550" t="s">
        <v>634</v>
      </c>
      <c r="H8" s="551"/>
      <c r="I8" s="551"/>
      <c r="J8" s="551"/>
      <c r="K8" s="551"/>
      <c r="L8" s="551"/>
      <c r="M8" s="552"/>
      <c r="N8" s="273">
        <f>SUM(N9:N15)</f>
        <v>20030000000</v>
      </c>
      <c r="O8" s="273">
        <f>SUM(O9:O15)</f>
        <v>10015000000</v>
      </c>
      <c r="P8" s="273">
        <f>SUM(P9:P15)</f>
        <v>10015000000</v>
      </c>
      <c r="Q8" s="273">
        <f>SUM(Q9:Q15)</f>
        <v>100000000</v>
      </c>
      <c r="R8" s="273">
        <f t="shared" ref="R8:S8" si="0">SUM(R9:R15)</f>
        <v>2013000000</v>
      </c>
      <c r="S8" s="273">
        <f t="shared" si="0"/>
        <v>12128000000</v>
      </c>
      <c r="T8" s="274">
        <f>SUM(T9:T15)</f>
        <v>22143000000</v>
      </c>
      <c r="X8" s="545"/>
      <c r="Y8" s="157" t="s">
        <v>528</v>
      </c>
      <c r="AD8" s="158" t="s">
        <v>533</v>
      </c>
      <c r="AF8" s="157" t="s">
        <v>514</v>
      </c>
    </row>
    <row r="9" spans="2:32" s="153" customFormat="1" ht="18" thickTop="1" thickBot="1">
      <c r="B9"/>
      <c r="C9"/>
      <c r="D9"/>
      <c r="E9"/>
      <c r="G9" s="548" t="s">
        <v>627</v>
      </c>
      <c r="H9" s="220" t="s">
        <v>530</v>
      </c>
      <c r="I9" s="220" t="s">
        <v>531</v>
      </c>
      <c r="J9" s="220" t="s">
        <v>53</v>
      </c>
      <c r="K9" s="253"/>
      <c r="L9" s="253"/>
      <c r="M9" s="253"/>
      <c r="N9" s="275">
        <f t="shared" ref="N9:T15" si="1">SUMIFS(N$16:N$1048576,$G$16:$G$1048576,1,$J$16:$J$1048576,$J9)</f>
        <v>20000000000</v>
      </c>
      <c r="O9" s="275">
        <f t="shared" si="1"/>
        <v>10000000000</v>
      </c>
      <c r="P9" s="275">
        <f t="shared" si="1"/>
        <v>10000000000</v>
      </c>
      <c r="Q9" s="275">
        <f t="shared" si="1"/>
        <v>0</v>
      </c>
      <c r="R9" s="275">
        <f t="shared" si="1"/>
        <v>2000000000</v>
      </c>
      <c r="S9" s="275">
        <f t="shared" si="1"/>
        <v>12000000000</v>
      </c>
      <c r="T9" s="276">
        <f t="shared" si="1"/>
        <v>22000000000</v>
      </c>
      <c r="X9" s="545"/>
      <c r="Y9" s="157" t="s">
        <v>532</v>
      </c>
      <c r="AD9" s="158" t="s">
        <v>538</v>
      </c>
      <c r="AF9" s="157" t="s">
        <v>525</v>
      </c>
    </row>
    <row r="10" spans="2:32" s="153" customFormat="1">
      <c r="B10" s="558" t="s">
        <v>642</v>
      </c>
      <c r="C10" s="559"/>
      <c r="D10" s="559"/>
      <c r="E10" s="560"/>
      <c r="G10" s="548"/>
      <c r="H10" s="221" t="s">
        <v>534</v>
      </c>
      <c r="I10" s="221" t="s">
        <v>535</v>
      </c>
      <c r="J10" s="221" t="s">
        <v>536</v>
      </c>
      <c r="K10" s="254"/>
      <c r="L10" s="254"/>
      <c r="M10" s="254"/>
      <c r="N10" s="277">
        <f t="shared" si="1"/>
        <v>10000000</v>
      </c>
      <c r="O10" s="277">
        <f t="shared" si="1"/>
        <v>5000000</v>
      </c>
      <c r="P10" s="277">
        <f t="shared" si="1"/>
        <v>5000000</v>
      </c>
      <c r="Q10" s="277">
        <f t="shared" si="1"/>
        <v>100000000</v>
      </c>
      <c r="R10" s="277">
        <f t="shared" si="1"/>
        <v>11000000</v>
      </c>
      <c r="S10" s="277">
        <f t="shared" si="1"/>
        <v>116000000</v>
      </c>
      <c r="T10" s="278">
        <f t="shared" si="1"/>
        <v>121000000</v>
      </c>
      <c r="X10" s="546"/>
      <c r="Y10" s="157" t="s">
        <v>537</v>
      </c>
      <c r="AD10" s="158" t="s">
        <v>541</v>
      </c>
      <c r="AF10" s="157" t="s">
        <v>528</v>
      </c>
    </row>
    <row r="11" spans="2:32" s="153" customFormat="1" ht="16.5" customHeight="1">
      <c r="B11" s="535" t="s">
        <v>675</v>
      </c>
      <c r="C11" s="536"/>
      <c r="D11" s="536"/>
      <c r="E11" s="537"/>
      <c r="G11" s="548"/>
      <c r="H11" s="221" t="s">
        <v>534</v>
      </c>
      <c r="I11" s="221" t="s">
        <v>539</v>
      </c>
      <c r="J11" s="221" t="s">
        <v>55</v>
      </c>
      <c r="K11" s="254"/>
      <c r="L11" s="254"/>
      <c r="M11" s="254"/>
      <c r="N11" s="277">
        <f t="shared" si="1"/>
        <v>10000000</v>
      </c>
      <c r="O11" s="277">
        <f t="shared" si="1"/>
        <v>5000000</v>
      </c>
      <c r="P11" s="277">
        <f t="shared" si="1"/>
        <v>5000000</v>
      </c>
      <c r="Q11" s="277">
        <f t="shared" si="1"/>
        <v>0</v>
      </c>
      <c r="R11" s="277">
        <f t="shared" si="1"/>
        <v>1000000</v>
      </c>
      <c r="S11" s="277">
        <f t="shared" si="1"/>
        <v>6000000</v>
      </c>
      <c r="T11" s="278">
        <f t="shared" si="1"/>
        <v>11000000</v>
      </c>
      <c r="X11" s="544" t="s">
        <v>515</v>
      </c>
      <c r="Y11" s="157" t="s">
        <v>540</v>
      </c>
      <c r="AC11"/>
      <c r="AD11" s="158" t="s">
        <v>543</v>
      </c>
      <c r="AF11" s="157" t="s">
        <v>532</v>
      </c>
    </row>
    <row r="12" spans="2:32" s="153" customFormat="1">
      <c r="B12" s="538"/>
      <c r="C12" s="539"/>
      <c r="D12" s="539"/>
      <c r="E12" s="540"/>
      <c r="G12" s="548"/>
      <c r="H12" s="221" t="s">
        <v>534</v>
      </c>
      <c r="I12" s="221" t="s">
        <v>546</v>
      </c>
      <c r="J12" s="221" t="s">
        <v>547</v>
      </c>
      <c r="K12" s="254"/>
      <c r="L12" s="254"/>
      <c r="M12" s="254"/>
      <c r="N12" s="277">
        <f t="shared" si="1"/>
        <v>10000000</v>
      </c>
      <c r="O12" s="277">
        <f t="shared" si="1"/>
        <v>5000000</v>
      </c>
      <c r="P12" s="277">
        <f t="shared" si="1"/>
        <v>5000000</v>
      </c>
      <c r="Q12" s="277">
        <f t="shared" si="1"/>
        <v>0</v>
      </c>
      <c r="R12" s="277">
        <f t="shared" si="1"/>
        <v>1000000</v>
      </c>
      <c r="S12" s="277">
        <f t="shared" si="1"/>
        <v>6000000</v>
      </c>
      <c r="T12" s="278">
        <f t="shared" si="1"/>
        <v>11000000</v>
      </c>
      <c r="X12" s="545"/>
      <c r="Y12" s="157" t="s">
        <v>542</v>
      </c>
      <c r="AA12"/>
      <c r="AB12"/>
      <c r="AC12"/>
      <c r="AD12" s="158" t="s">
        <v>545</v>
      </c>
      <c r="AF12" s="157" t="s">
        <v>537</v>
      </c>
    </row>
    <row r="13" spans="2:32" s="153" customFormat="1">
      <c r="B13" s="538"/>
      <c r="C13" s="539"/>
      <c r="D13" s="539"/>
      <c r="E13" s="540"/>
      <c r="G13" s="548"/>
      <c r="H13" s="221" t="s">
        <v>732</v>
      </c>
      <c r="I13" s="221" t="s">
        <v>733</v>
      </c>
      <c r="J13" s="221"/>
      <c r="K13" s="254"/>
      <c r="L13" s="254"/>
      <c r="M13" s="254"/>
      <c r="N13" s="277">
        <f t="shared" si="1"/>
        <v>0</v>
      </c>
      <c r="O13" s="277">
        <f t="shared" si="1"/>
        <v>0</v>
      </c>
      <c r="P13" s="277">
        <f t="shared" si="1"/>
        <v>0</v>
      </c>
      <c r="Q13" s="277">
        <f t="shared" si="1"/>
        <v>0</v>
      </c>
      <c r="R13" s="277">
        <f t="shared" si="1"/>
        <v>0</v>
      </c>
      <c r="S13" s="277">
        <f t="shared" si="1"/>
        <v>0</v>
      </c>
      <c r="T13" s="278">
        <f t="shared" si="1"/>
        <v>0</v>
      </c>
      <c r="X13" s="545"/>
      <c r="Y13" s="157" t="s">
        <v>544</v>
      </c>
      <c r="AA13"/>
      <c r="AB13"/>
      <c r="AC13"/>
      <c r="AD13" s="158" t="s">
        <v>549</v>
      </c>
      <c r="AF13" s="157" t="s">
        <v>540</v>
      </c>
    </row>
    <row r="14" spans="2:32" s="153" customFormat="1">
      <c r="B14" s="538"/>
      <c r="C14" s="539"/>
      <c r="D14" s="539"/>
      <c r="E14" s="540"/>
      <c r="G14" s="548"/>
      <c r="H14" s="221"/>
      <c r="I14" s="221"/>
      <c r="J14" s="221"/>
      <c r="K14" s="254"/>
      <c r="L14" s="254"/>
      <c r="M14" s="254"/>
      <c r="N14" s="277">
        <f t="shared" si="1"/>
        <v>0</v>
      </c>
      <c r="O14" s="277">
        <f t="shared" si="1"/>
        <v>0</v>
      </c>
      <c r="P14" s="277">
        <f t="shared" si="1"/>
        <v>0</v>
      </c>
      <c r="Q14" s="277">
        <f t="shared" si="1"/>
        <v>0</v>
      </c>
      <c r="R14" s="277">
        <f t="shared" si="1"/>
        <v>0</v>
      </c>
      <c r="S14" s="277">
        <f t="shared" si="1"/>
        <v>0</v>
      </c>
      <c r="T14" s="278">
        <f t="shared" si="1"/>
        <v>0</v>
      </c>
      <c r="X14" s="545"/>
      <c r="Y14" s="157" t="s">
        <v>548</v>
      </c>
      <c r="AA14"/>
      <c r="AB14"/>
      <c r="AC14"/>
      <c r="AD14" s="158" t="s">
        <v>551</v>
      </c>
      <c r="AF14" s="157" t="s">
        <v>542</v>
      </c>
    </row>
    <row r="15" spans="2:32" s="153" customFormat="1" ht="17.25" thickBot="1">
      <c r="B15" s="538"/>
      <c r="C15" s="539"/>
      <c r="D15" s="539"/>
      <c r="E15" s="540"/>
      <c r="G15" s="549"/>
      <c r="H15" s="222"/>
      <c r="I15" s="222"/>
      <c r="J15" s="222"/>
      <c r="K15" s="255"/>
      <c r="L15" s="255"/>
      <c r="M15" s="255"/>
      <c r="N15" s="279">
        <f t="shared" si="1"/>
        <v>0</v>
      </c>
      <c r="O15" s="279">
        <f t="shared" si="1"/>
        <v>0</v>
      </c>
      <c r="P15" s="279">
        <f t="shared" si="1"/>
        <v>0</v>
      </c>
      <c r="Q15" s="279">
        <f t="shared" si="1"/>
        <v>0</v>
      </c>
      <c r="R15" s="279">
        <f t="shared" si="1"/>
        <v>0</v>
      </c>
      <c r="S15" s="279">
        <f t="shared" si="1"/>
        <v>0</v>
      </c>
      <c r="T15" s="280">
        <f t="shared" si="1"/>
        <v>0</v>
      </c>
      <c r="X15" s="545"/>
      <c r="Y15" s="157" t="s">
        <v>550</v>
      </c>
      <c r="AA15"/>
      <c r="AB15"/>
      <c r="AC15"/>
      <c r="AD15" s="158" t="s">
        <v>553</v>
      </c>
      <c r="AF15" s="157" t="s">
        <v>544</v>
      </c>
    </row>
    <row r="16" spans="2:32" s="153" customFormat="1">
      <c r="B16" s="538"/>
      <c r="C16" s="539"/>
      <c r="D16" s="539"/>
      <c r="E16" s="540"/>
      <c r="G16" s="620">
        <v>1</v>
      </c>
      <c r="H16" s="621" t="s">
        <v>530</v>
      </c>
      <c r="I16" s="621" t="s">
        <v>531</v>
      </c>
      <c r="J16" s="622" t="s">
        <v>53</v>
      </c>
      <c r="K16" s="622"/>
      <c r="L16" s="622"/>
      <c r="M16" s="622"/>
      <c r="N16" s="623">
        <v>20000000000</v>
      </c>
      <c r="O16" s="275">
        <f>N16*지원비율</f>
        <v>10000000000</v>
      </c>
      <c r="P16" s="275">
        <f t="shared" ref="P16:P21" si="2">N16-O16</f>
        <v>10000000000</v>
      </c>
      <c r="Q16" s="623"/>
      <c r="R16" s="623">
        <v>2000000000</v>
      </c>
      <c r="S16" s="275">
        <f t="shared" ref="S16:S21" si="3">SUM(P16:R16)</f>
        <v>12000000000</v>
      </c>
      <c r="T16" s="276">
        <f t="shared" ref="T16:T21" si="4">S16+O16</f>
        <v>22000000000</v>
      </c>
      <c r="X16" s="545"/>
      <c r="Y16" s="157" t="s">
        <v>552</v>
      </c>
      <c r="AA16"/>
      <c r="AB16"/>
      <c r="AC16"/>
      <c r="AD16" s="158" t="s">
        <v>555</v>
      </c>
      <c r="AF16" s="157" t="s">
        <v>548</v>
      </c>
    </row>
    <row r="17" spans="2:32" s="153" customFormat="1" ht="17.25" thickBot="1">
      <c r="B17" s="541"/>
      <c r="C17" s="542"/>
      <c r="D17" s="542"/>
      <c r="E17" s="543"/>
      <c r="G17" s="624">
        <v>1</v>
      </c>
      <c r="H17" s="621" t="s">
        <v>534</v>
      </c>
      <c r="I17" s="621" t="s">
        <v>535</v>
      </c>
      <c r="J17" s="621" t="s">
        <v>54</v>
      </c>
      <c r="K17" s="621"/>
      <c r="L17" s="621"/>
      <c r="M17" s="621"/>
      <c r="N17" s="625">
        <v>10000000</v>
      </c>
      <c r="O17" s="277">
        <f t="shared" ref="O17:O36" si="5">N17*지원비율</f>
        <v>5000000</v>
      </c>
      <c r="P17" s="277">
        <f t="shared" si="2"/>
        <v>5000000</v>
      </c>
      <c r="Q17" s="625">
        <v>100000000</v>
      </c>
      <c r="R17" s="625">
        <v>11000000</v>
      </c>
      <c r="S17" s="275">
        <f t="shared" si="3"/>
        <v>116000000</v>
      </c>
      <c r="T17" s="278">
        <f t="shared" si="4"/>
        <v>121000000</v>
      </c>
      <c r="W17"/>
      <c r="X17" s="545"/>
      <c r="Y17" s="157" t="s">
        <v>554</v>
      </c>
      <c r="AA17"/>
      <c r="AB17"/>
      <c r="AC17"/>
      <c r="AD17" s="158" t="s">
        <v>557</v>
      </c>
      <c r="AF17" s="157" t="s">
        <v>550</v>
      </c>
    </row>
    <row r="18" spans="2:32" s="153" customFormat="1">
      <c r="B18"/>
      <c r="C18"/>
      <c r="D18"/>
      <c r="E18"/>
      <c r="G18" s="624">
        <v>1</v>
      </c>
      <c r="H18" s="621" t="s">
        <v>534</v>
      </c>
      <c r="I18" s="621" t="s">
        <v>539</v>
      </c>
      <c r="J18" s="621" t="s">
        <v>55</v>
      </c>
      <c r="K18" s="621"/>
      <c r="L18" s="621"/>
      <c r="M18" s="621"/>
      <c r="N18" s="625">
        <v>10000000</v>
      </c>
      <c r="O18" s="277">
        <f t="shared" si="5"/>
        <v>5000000</v>
      </c>
      <c r="P18" s="277">
        <f t="shared" si="2"/>
        <v>5000000</v>
      </c>
      <c r="Q18" s="625"/>
      <c r="R18" s="625">
        <v>1000000</v>
      </c>
      <c r="S18" s="275">
        <f t="shared" si="3"/>
        <v>6000000</v>
      </c>
      <c r="T18" s="278">
        <f t="shared" si="4"/>
        <v>11000000</v>
      </c>
      <c r="W18"/>
      <c r="X18" s="545"/>
      <c r="Y18" s="157" t="s">
        <v>556</v>
      </c>
      <c r="AA18"/>
      <c r="AB18"/>
      <c r="AC18"/>
      <c r="AD18" s="158" t="s">
        <v>559</v>
      </c>
      <c r="AF18" s="157" t="s">
        <v>552</v>
      </c>
    </row>
    <row r="19" spans="2:32" s="153" customFormat="1">
      <c r="B19" s="284"/>
      <c r="C19" s="530" t="s">
        <v>824</v>
      </c>
      <c r="D19" s="531"/>
      <c r="E19" s="547"/>
      <c r="G19" s="624">
        <v>1</v>
      </c>
      <c r="H19" s="621" t="s">
        <v>534</v>
      </c>
      <c r="I19" s="621" t="s">
        <v>546</v>
      </c>
      <c r="J19" s="621" t="s">
        <v>56</v>
      </c>
      <c r="K19" s="621"/>
      <c r="L19" s="621"/>
      <c r="M19" s="621"/>
      <c r="N19" s="625">
        <v>10000000</v>
      </c>
      <c r="O19" s="277">
        <f t="shared" si="5"/>
        <v>5000000</v>
      </c>
      <c r="P19" s="277">
        <f t="shared" si="2"/>
        <v>5000000</v>
      </c>
      <c r="Q19" s="625"/>
      <c r="R19" s="625">
        <v>1000000</v>
      </c>
      <c r="S19" s="275">
        <f t="shared" si="3"/>
        <v>6000000</v>
      </c>
      <c r="T19" s="278">
        <f t="shared" si="4"/>
        <v>11000000</v>
      </c>
      <c r="W19"/>
      <c r="X19" s="545"/>
      <c r="Y19" s="157" t="s">
        <v>558</v>
      </c>
      <c r="AA19"/>
      <c r="AB19"/>
      <c r="AC19"/>
      <c r="AD19" s="158" t="s">
        <v>561</v>
      </c>
      <c r="AF19" s="157" t="s">
        <v>554</v>
      </c>
    </row>
    <row r="20" spans="2:32" s="153" customFormat="1" ht="16.5" customHeight="1">
      <c r="B20" s="285"/>
      <c r="C20" s="530"/>
      <c r="D20" s="531"/>
      <c r="E20" s="547"/>
      <c r="F20"/>
      <c r="G20" s="624">
        <v>1</v>
      </c>
      <c r="H20" s="621" t="s">
        <v>732</v>
      </c>
      <c r="I20" s="621" t="s">
        <v>733</v>
      </c>
      <c r="J20" s="621"/>
      <c r="K20" s="626"/>
      <c r="L20" s="626"/>
      <c r="M20" s="626"/>
      <c r="N20" s="627"/>
      <c r="O20" s="277">
        <f t="shared" si="5"/>
        <v>0</v>
      </c>
      <c r="P20" s="277">
        <f t="shared" si="2"/>
        <v>0</v>
      </c>
      <c r="Q20" s="627"/>
      <c r="R20" s="627"/>
      <c r="S20" s="275">
        <f t="shared" si="3"/>
        <v>0</v>
      </c>
      <c r="T20" s="278">
        <f t="shared" si="4"/>
        <v>0</v>
      </c>
      <c r="W20"/>
      <c r="X20" s="545"/>
      <c r="Y20" s="157" t="s">
        <v>560</v>
      </c>
      <c r="AA20"/>
      <c r="AB20"/>
      <c r="AC20"/>
      <c r="AD20" s="158" t="s">
        <v>562</v>
      </c>
      <c r="AF20" s="157" t="s">
        <v>556</v>
      </c>
    </row>
    <row r="21" spans="2:32" s="153" customFormat="1" ht="16.5" customHeight="1">
      <c r="C21" s="286"/>
      <c r="D21" s="287"/>
      <c r="F21"/>
      <c r="G21" s="218">
        <v>1</v>
      </c>
      <c r="H21" s="180"/>
      <c r="I21" s="180"/>
      <c r="J21" s="180"/>
      <c r="K21" s="180"/>
      <c r="L21" s="180"/>
      <c r="M21" s="180"/>
      <c r="N21" s="281"/>
      <c r="O21" s="277">
        <f t="shared" si="5"/>
        <v>0</v>
      </c>
      <c r="P21" s="277">
        <f t="shared" si="2"/>
        <v>0</v>
      </c>
      <c r="Q21" s="281"/>
      <c r="R21" s="281"/>
      <c r="S21" s="275">
        <f t="shared" si="3"/>
        <v>0</v>
      </c>
      <c r="T21" s="278">
        <f t="shared" si="4"/>
        <v>0</v>
      </c>
      <c r="W21"/>
      <c r="X21" s="545"/>
      <c r="Y21" s="157" t="s">
        <v>516</v>
      </c>
      <c r="AA21"/>
      <c r="AB21"/>
      <c r="AC21"/>
      <c r="AD21" s="158"/>
      <c r="AF21" s="157"/>
    </row>
    <row r="22" spans="2:32" s="153" customFormat="1" ht="16.5" customHeight="1">
      <c r="B22" s="288"/>
      <c r="C22" s="530" t="s">
        <v>688</v>
      </c>
      <c r="D22" s="531"/>
      <c r="E22" s="532"/>
      <c r="F22"/>
      <c r="G22" s="218">
        <v>1</v>
      </c>
      <c r="H22" s="180"/>
      <c r="I22" s="180"/>
      <c r="J22" s="180"/>
      <c r="K22" s="180"/>
      <c r="L22" s="180"/>
      <c r="M22" s="180"/>
      <c r="N22" s="281"/>
      <c r="O22" s="277">
        <f t="shared" si="5"/>
        <v>0</v>
      </c>
      <c r="P22" s="277">
        <f t="shared" ref="P22:P32" si="6">N22-O22</f>
        <v>0</v>
      </c>
      <c r="Q22" s="281"/>
      <c r="R22" s="281"/>
      <c r="S22" s="275">
        <f t="shared" ref="S22:S30" si="7">SUM(P22:R22)</f>
        <v>0</v>
      </c>
      <c r="T22" s="278">
        <f t="shared" ref="T22:T30" si="8">S22+O22</f>
        <v>0</v>
      </c>
      <c r="W22"/>
      <c r="X22" s="545"/>
      <c r="Y22" s="157" t="s">
        <v>563</v>
      </c>
      <c r="AA22"/>
      <c r="AB22"/>
      <c r="AC22"/>
      <c r="AD22" s="158"/>
      <c r="AF22" s="157"/>
    </row>
    <row r="23" spans="2:32" s="153" customFormat="1" ht="16.5" customHeight="1">
      <c r="B23" s="289"/>
      <c r="C23" s="530"/>
      <c r="D23" s="531"/>
      <c r="E23" s="532"/>
      <c r="F23"/>
      <c r="G23" s="218">
        <v>1</v>
      </c>
      <c r="H23" s="180"/>
      <c r="I23" s="180"/>
      <c r="J23" s="180"/>
      <c r="K23" s="180"/>
      <c r="L23" s="180"/>
      <c r="M23" s="180"/>
      <c r="N23" s="281"/>
      <c r="O23" s="277">
        <f t="shared" si="5"/>
        <v>0</v>
      </c>
      <c r="P23" s="277">
        <f t="shared" si="6"/>
        <v>0</v>
      </c>
      <c r="Q23" s="281"/>
      <c r="R23" s="281"/>
      <c r="S23" s="275">
        <f t="shared" si="7"/>
        <v>0</v>
      </c>
      <c r="T23" s="278">
        <f t="shared" si="8"/>
        <v>0</v>
      </c>
      <c r="W23"/>
      <c r="X23" s="545"/>
      <c r="Y23" s="157" t="s">
        <v>565</v>
      </c>
      <c r="AA23"/>
      <c r="AB23"/>
      <c r="AC23"/>
      <c r="AD23" s="158"/>
      <c r="AF23" s="157"/>
    </row>
    <row r="24" spans="2:32" s="153" customFormat="1" ht="16.5" customHeight="1">
      <c r="B24"/>
      <c r="C24" s="290"/>
      <c r="D24" s="287"/>
      <c r="F24"/>
      <c r="G24" s="218">
        <v>1</v>
      </c>
      <c r="H24" s="180"/>
      <c r="I24" s="180"/>
      <c r="J24" s="180"/>
      <c r="K24" s="180"/>
      <c r="L24" s="180"/>
      <c r="M24" s="180"/>
      <c r="N24" s="281"/>
      <c r="O24" s="277">
        <f t="shared" si="5"/>
        <v>0</v>
      </c>
      <c r="P24" s="277">
        <f t="shared" si="6"/>
        <v>0</v>
      </c>
      <c r="Q24" s="281"/>
      <c r="R24" s="281"/>
      <c r="S24" s="275">
        <f t="shared" si="7"/>
        <v>0</v>
      </c>
      <c r="T24" s="278">
        <f t="shared" si="8"/>
        <v>0</v>
      </c>
      <c r="W24"/>
      <c r="X24" s="545"/>
      <c r="Y24" s="157" t="s">
        <v>567</v>
      </c>
      <c r="AA24"/>
      <c r="AB24"/>
      <c r="AC24"/>
      <c r="AD24" s="158"/>
      <c r="AF24" s="157"/>
    </row>
    <row r="25" spans="2:32" s="153" customFormat="1" ht="16.5" customHeight="1">
      <c r="B25" s="533"/>
      <c r="C25" s="530" t="s">
        <v>689</v>
      </c>
      <c r="D25" s="531"/>
      <c r="E25" s="532"/>
      <c r="F25"/>
      <c r="G25" s="218">
        <v>1</v>
      </c>
      <c r="H25" s="180"/>
      <c r="I25" s="180"/>
      <c r="J25" s="180"/>
      <c r="K25" s="180"/>
      <c r="L25" s="180"/>
      <c r="M25" s="180"/>
      <c r="N25" s="281"/>
      <c r="O25" s="277">
        <f t="shared" si="5"/>
        <v>0</v>
      </c>
      <c r="P25" s="277">
        <f t="shared" si="6"/>
        <v>0</v>
      </c>
      <c r="Q25" s="281"/>
      <c r="R25" s="281"/>
      <c r="S25" s="275">
        <f t="shared" si="7"/>
        <v>0</v>
      </c>
      <c r="T25" s="278">
        <f t="shared" si="8"/>
        <v>0</v>
      </c>
      <c r="W25"/>
      <c r="X25" s="545"/>
      <c r="Y25" s="157" t="s">
        <v>569</v>
      </c>
      <c r="AA25"/>
      <c r="AB25"/>
      <c r="AC25"/>
      <c r="AD25" s="158"/>
      <c r="AF25" s="157"/>
    </row>
    <row r="26" spans="2:32" s="153" customFormat="1" ht="16.5" customHeight="1" thickBot="1">
      <c r="B26" s="534"/>
      <c r="C26" s="530"/>
      <c r="D26" s="531"/>
      <c r="E26" s="532"/>
      <c r="F26"/>
      <c r="G26" s="218">
        <v>1</v>
      </c>
      <c r="H26" s="180"/>
      <c r="I26" s="180"/>
      <c r="J26" s="180"/>
      <c r="K26" s="180"/>
      <c r="L26" s="180"/>
      <c r="M26" s="180"/>
      <c r="N26" s="281"/>
      <c r="O26" s="277">
        <f t="shared" si="5"/>
        <v>0</v>
      </c>
      <c r="P26" s="277">
        <f t="shared" si="6"/>
        <v>0</v>
      </c>
      <c r="Q26" s="281"/>
      <c r="R26" s="281"/>
      <c r="S26" s="275">
        <f t="shared" si="7"/>
        <v>0</v>
      </c>
      <c r="T26" s="278">
        <f t="shared" si="8"/>
        <v>0</v>
      </c>
      <c r="W26"/>
      <c r="X26" s="546"/>
      <c r="Y26" s="157" t="s">
        <v>571</v>
      </c>
      <c r="AA26"/>
      <c r="AB26"/>
      <c r="AC26"/>
      <c r="AD26" s="158"/>
      <c r="AF26" s="157"/>
    </row>
    <row r="27" spans="2:32" s="153" customFormat="1" ht="16.5" customHeight="1">
      <c r="B27"/>
      <c r="C27"/>
      <c r="D27"/>
      <c r="E27"/>
      <c r="F27"/>
      <c r="G27" s="218">
        <v>1</v>
      </c>
      <c r="H27" s="180"/>
      <c r="I27" s="180"/>
      <c r="J27" s="180"/>
      <c r="K27" s="180"/>
      <c r="L27" s="180"/>
      <c r="M27" s="180"/>
      <c r="N27" s="281"/>
      <c r="O27" s="277">
        <f t="shared" si="5"/>
        <v>0</v>
      </c>
      <c r="P27" s="277">
        <f t="shared" si="6"/>
        <v>0</v>
      </c>
      <c r="Q27" s="281"/>
      <c r="R27" s="281"/>
      <c r="S27" s="275">
        <f t="shared" si="7"/>
        <v>0</v>
      </c>
      <c r="T27" s="278">
        <f t="shared" si="8"/>
        <v>0</v>
      </c>
      <c r="W27"/>
      <c r="X27" s="544" t="s">
        <v>533</v>
      </c>
      <c r="Y27" s="157" t="s">
        <v>573</v>
      </c>
      <c r="Z27"/>
      <c r="AA27"/>
      <c r="AB27"/>
      <c r="AC27"/>
      <c r="AD27" s="158"/>
      <c r="AF27" s="157"/>
    </row>
    <row r="28" spans="2:32" s="153" customFormat="1" ht="25.5">
      <c r="B28"/>
      <c r="C28"/>
      <c r="D28"/>
      <c r="E28"/>
      <c r="F28"/>
      <c r="G28" s="218">
        <v>1</v>
      </c>
      <c r="H28" s="180"/>
      <c r="I28" s="180"/>
      <c r="J28" s="180"/>
      <c r="K28" s="180"/>
      <c r="L28" s="180"/>
      <c r="M28" s="180"/>
      <c r="N28" s="281"/>
      <c r="O28" s="277">
        <f t="shared" si="5"/>
        <v>0</v>
      </c>
      <c r="P28" s="277">
        <f t="shared" si="6"/>
        <v>0</v>
      </c>
      <c r="Q28" s="281"/>
      <c r="R28" s="281"/>
      <c r="S28" s="275">
        <f t="shared" si="7"/>
        <v>0</v>
      </c>
      <c r="T28" s="278">
        <f t="shared" si="8"/>
        <v>0</v>
      </c>
      <c r="W28"/>
      <c r="X28" s="545"/>
      <c r="Y28" s="157" t="s">
        <v>575</v>
      </c>
      <c r="Z28"/>
      <c r="AA28"/>
      <c r="AB28"/>
      <c r="AC28"/>
      <c r="AD28" s="158" t="s">
        <v>564</v>
      </c>
      <c r="AF28" s="157" t="s">
        <v>558</v>
      </c>
    </row>
    <row r="29" spans="2:32" s="153" customFormat="1">
      <c r="B29"/>
      <c r="C29"/>
      <c r="D29"/>
      <c r="E29"/>
      <c r="F29"/>
      <c r="G29" s="218">
        <v>1</v>
      </c>
      <c r="H29" s="180"/>
      <c r="I29" s="180"/>
      <c r="J29" s="180"/>
      <c r="K29" s="180"/>
      <c r="L29" s="180"/>
      <c r="M29" s="180"/>
      <c r="N29" s="281"/>
      <c r="O29" s="277">
        <f t="shared" si="5"/>
        <v>0</v>
      </c>
      <c r="P29" s="277">
        <f t="shared" si="6"/>
        <v>0</v>
      </c>
      <c r="Q29" s="281"/>
      <c r="R29" s="281"/>
      <c r="S29" s="275">
        <f t="shared" si="7"/>
        <v>0</v>
      </c>
      <c r="T29" s="278">
        <f t="shared" si="8"/>
        <v>0</v>
      </c>
      <c r="W29"/>
      <c r="X29" s="546"/>
      <c r="Y29" s="157" t="s">
        <v>577</v>
      </c>
      <c r="Z29"/>
      <c r="AA29"/>
      <c r="AB29"/>
      <c r="AC29"/>
      <c r="AD29" s="158" t="s">
        <v>566</v>
      </c>
      <c r="AF29" s="157" t="s">
        <v>560</v>
      </c>
    </row>
    <row r="30" spans="2:32" s="153" customFormat="1">
      <c r="B30"/>
      <c r="C30"/>
      <c r="D30"/>
      <c r="E30"/>
      <c r="F30"/>
      <c r="G30" s="218">
        <v>1</v>
      </c>
      <c r="H30" s="180"/>
      <c r="I30" s="180"/>
      <c r="J30" s="180"/>
      <c r="K30" s="180"/>
      <c r="L30" s="180"/>
      <c r="M30" s="180"/>
      <c r="N30" s="281"/>
      <c r="O30" s="277">
        <f t="shared" si="5"/>
        <v>0</v>
      </c>
      <c r="P30" s="277">
        <f t="shared" si="6"/>
        <v>0</v>
      </c>
      <c r="Q30" s="281"/>
      <c r="R30" s="281"/>
      <c r="S30" s="275">
        <f t="shared" si="7"/>
        <v>0</v>
      </c>
      <c r="T30" s="278">
        <f t="shared" si="8"/>
        <v>0</v>
      </c>
      <c r="W30"/>
      <c r="X30" s="544" t="s">
        <v>538</v>
      </c>
      <c r="Y30" s="157" t="s">
        <v>578</v>
      </c>
      <c r="Z30"/>
      <c r="AA30"/>
      <c r="AB30"/>
      <c r="AC30"/>
      <c r="AD30" s="158" t="s">
        <v>568</v>
      </c>
      <c r="AF30" s="157" t="s">
        <v>563</v>
      </c>
    </row>
    <row r="31" spans="2:32" s="153" customFormat="1">
      <c r="B31"/>
      <c r="C31"/>
      <c r="D31"/>
      <c r="E31"/>
      <c r="F31"/>
      <c r="G31" s="218">
        <v>1</v>
      </c>
      <c r="H31" s="180"/>
      <c r="I31" s="180"/>
      <c r="J31" s="180"/>
      <c r="K31" s="180"/>
      <c r="L31" s="180"/>
      <c r="M31" s="180"/>
      <c r="N31" s="281"/>
      <c r="O31" s="277">
        <f t="shared" si="5"/>
        <v>0</v>
      </c>
      <c r="P31" s="277">
        <f t="shared" si="6"/>
        <v>0</v>
      </c>
      <c r="Q31" s="281"/>
      <c r="R31" s="281"/>
      <c r="S31" s="275">
        <f t="shared" ref="S31:S36" si="9">SUM(P31:R31)</f>
        <v>0</v>
      </c>
      <c r="T31" s="278">
        <f t="shared" ref="T31:T36" si="10">S31+O31</f>
        <v>0</v>
      </c>
      <c r="W31"/>
      <c r="X31" s="546"/>
      <c r="Y31" s="157" t="s">
        <v>579</v>
      </c>
      <c r="Z31"/>
      <c r="AA31"/>
      <c r="AB31"/>
      <c r="AC31"/>
      <c r="AD31" s="158" t="s">
        <v>570</v>
      </c>
      <c r="AF31" s="157" t="s">
        <v>565</v>
      </c>
    </row>
    <row r="32" spans="2:32" s="153" customFormat="1">
      <c r="B32"/>
      <c r="C32"/>
      <c r="D32"/>
      <c r="E32"/>
      <c r="F32"/>
      <c r="G32" s="218">
        <v>1</v>
      </c>
      <c r="H32" s="180"/>
      <c r="I32" s="180"/>
      <c r="J32" s="180"/>
      <c r="K32" s="180"/>
      <c r="L32" s="180"/>
      <c r="M32" s="180"/>
      <c r="N32" s="281"/>
      <c r="O32" s="277">
        <f t="shared" si="5"/>
        <v>0</v>
      </c>
      <c r="P32" s="277">
        <f t="shared" si="6"/>
        <v>0</v>
      </c>
      <c r="Q32" s="281"/>
      <c r="R32" s="281"/>
      <c r="S32" s="275">
        <f t="shared" si="9"/>
        <v>0</v>
      </c>
      <c r="T32" s="278">
        <f t="shared" si="10"/>
        <v>0</v>
      </c>
      <c r="W32"/>
      <c r="X32" s="544" t="s">
        <v>541</v>
      </c>
      <c r="Y32" s="157" t="s">
        <v>580</v>
      </c>
      <c r="Z32"/>
      <c r="AA32"/>
      <c r="AB32"/>
      <c r="AC32"/>
      <c r="AD32" s="158" t="s">
        <v>572</v>
      </c>
      <c r="AE32"/>
      <c r="AF32" s="157" t="s">
        <v>567</v>
      </c>
    </row>
    <row r="33" spans="2:32" s="153" customFormat="1">
      <c r="B33"/>
      <c r="C33"/>
      <c r="D33"/>
      <c r="E33"/>
      <c r="F33"/>
      <c r="G33" s="218">
        <v>1</v>
      </c>
      <c r="H33" s="180"/>
      <c r="I33" s="180"/>
      <c r="J33" s="180"/>
      <c r="K33" s="180"/>
      <c r="L33" s="180"/>
      <c r="M33" s="180"/>
      <c r="N33" s="281"/>
      <c r="O33" s="277">
        <f t="shared" si="5"/>
        <v>0</v>
      </c>
      <c r="P33" s="277">
        <f>N33-O33</f>
        <v>0</v>
      </c>
      <c r="Q33" s="281"/>
      <c r="R33" s="281"/>
      <c r="S33" s="275">
        <f t="shared" si="9"/>
        <v>0</v>
      </c>
      <c r="T33" s="278">
        <f t="shared" si="10"/>
        <v>0</v>
      </c>
      <c r="W33"/>
      <c r="X33" s="545"/>
      <c r="Y33" s="157" t="s">
        <v>581</v>
      </c>
      <c r="Z33"/>
      <c r="AA33"/>
      <c r="AB33"/>
      <c r="AC33"/>
      <c r="AD33" s="158" t="s">
        <v>574</v>
      </c>
      <c r="AE33"/>
      <c r="AF33" s="157" t="s">
        <v>569</v>
      </c>
    </row>
    <row r="34" spans="2:32">
      <c r="G34" s="218">
        <v>1</v>
      </c>
      <c r="H34" s="180"/>
      <c r="I34" s="180"/>
      <c r="J34" s="180"/>
      <c r="K34" s="180"/>
      <c r="L34" s="180"/>
      <c r="M34" s="180"/>
      <c r="N34" s="281"/>
      <c r="O34" s="277">
        <f t="shared" si="5"/>
        <v>0</v>
      </c>
      <c r="P34" s="277">
        <f>N34-O34</f>
        <v>0</v>
      </c>
      <c r="Q34" s="281"/>
      <c r="R34" s="281"/>
      <c r="S34" s="275">
        <f t="shared" si="9"/>
        <v>0</v>
      </c>
      <c r="T34" s="278">
        <f t="shared" si="10"/>
        <v>0</v>
      </c>
      <c r="X34" s="546"/>
      <c r="Y34" s="157" t="s">
        <v>582</v>
      </c>
      <c r="AD34" s="158" t="s">
        <v>576</v>
      </c>
      <c r="AF34" s="157" t="s">
        <v>571</v>
      </c>
    </row>
    <row r="35" spans="2:32">
      <c r="G35" s="218">
        <v>1</v>
      </c>
      <c r="H35" s="180"/>
      <c r="I35" s="180"/>
      <c r="J35" s="180"/>
      <c r="K35" s="180"/>
      <c r="L35" s="180"/>
      <c r="M35" s="180"/>
      <c r="N35" s="281"/>
      <c r="O35" s="277">
        <f t="shared" si="5"/>
        <v>0</v>
      </c>
      <c r="P35" s="277">
        <f>N35-O35</f>
        <v>0</v>
      </c>
      <c r="Q35" s="281"/>
      <c r="R35" s="281"/>
      <c r="S35" s="275">
        <f t="shared" si="9"/>
        <v>0</v>
      </c>
      <c r="T35" s="278">
        <f t="shared" si="10"/>
        <v>0</v>
      </c>
      <c r="X35" s="157" t="s">
        <v>543</v>
      </c>
      <c r="Y35" s="157" t="s">
        <v>583</v>
      </c>
      <c r="AF35" s="157" t="s">
        <v>573</v>
      </c>
    </row>
    <row r="36" spans="2:32" ht="16.5" customHeight="1" thickBot="1">
      <c r="G36" s="219">
        <v>1</v>
      </c>
      <c r="H36" s="203"/>
      <c r="I36" s="203"/>
      <c r="J36" s="203"/>
      <c r="K36" s="203"/>
      <c r="L36" s="203"/>
      <c r="M36" s="203"/>
      <c r="N36" s="282"/>
      <c r="O36" s="279">
        <f t="shared" si="5"/>
        <v>0</v>
      </c>
      <c r="P36" s="279">
        <f>N36-O36</f>
        <v>0</v>
      </c>
      <c r="Q36" s="282"/>
      <c r="R36" s="282"/>
      <c r="S36" s="283">
        <f t="shared" si="9"/>
        <v>0</v>
      </c>
      <c r="T36" s="280">
        <f t="shared" si="10"/>
        <v>0</v>
      </c>
      <c r="X36" s="544" t="s">
        <v>545</v>
      </c>
      <c r="Y36" s="157" t="s">
        <v>584</v>
      </c>
      <c r="AF36" s="157" t="s">
        <v>575</v>
      </c>
    </row>
    <row r="37" spans="2:32">
      <c r="X37" s="545"/>
      <c r="Y37" s="157" t="s">
        <v>585</v>
      </c>
      <c r="AF37" s="157" t="s">
        <v>577</v>
      </c>
    </row>
    <row r="38" spans="2:32">
      <c r="X38" s="545"/>
      <c r="Y38" s="157" t="s">
        <v>586</v>
      </c>
      <c r="AF38" s="157" t="s">
        <v>578</v>
      </c>
    </row>
    <row r="39" spans="2:32" ht="16.5" customHeight="1">
      <c r="X39" s="546"/>
      <c r="Y39" s="157" t="s">
        <v>587</v>
      </c>
      <c r="AF39" s="157" t="s">
        <v>579</v>
      </c>
    </row>
    <row r="40" spans="2:32">
      <c r="X40" s="544" t="s">
        <v>549</v>
      </c>
      <c r="Y40" s="157" t="s">
        <v>588</v>
      </c>
      <c r="AF40" s="157" t="s">
        <v>580</v>
      </c>
    </row>
    <row r="41" spans="2:32" ht="25.5" customHeight="1">
      <c r="X41" s="545"/>
      <c r="Y41" s="157" t="s">
        <v>589</v>
      </c>
      <c r="AF41" s="157" t="s">
        <v>581</v>
      </c>
    </row>
    <row r="42" spans="2:32" ht="16.5" customHeight="1">
      <c r="X42" s="545"/>
      <c r="Y42" s="157" t="s">
        <v>590</v>
      </c>
      <c r="AF42" s="157" t="s">
        <v>582</v>
      </c>
    </row>
    <row r="43" spans="2:32">
      <c r="X43" s="545"/>
      <c r="Y43" s="157" t="s">
        <v>591</v>
      </c>
      <c r="AF43" s="157" t="s">
        <v>583</v>
      </c>
    </row>
    <row r="44" spans="2:32">
      <c r="X44" s="545"/>
      <c r="Y44" s="157" t="s">
        <v>592</v>
      </c>
      <c r="AF44" s="157" t="s">
        <v>584</v>
      </c>
    </row>
    <row r="45" spans="2:32">
      <c r="X45" s="545"/>
      <c r="Y45" s="157" t="s">
        <v>593</v>
      </c>
      <c r="AF45" s="157" t="s">
        <v>585</v>
      </c>
    </row>
    <row r="46" spans="2:32" ht="16.5" customHeight="1">
      <c r="X46" s="545"/>
      <c r="Y46" s="157" t="s">
        <v>594</v>
      </c>
      <c r="AF46" s="157" t="s">
        <v>586</v>
      </c>
    </row>
    <row r="47" spans="2:32">
      <c r="X47" s="545"/>
      <c r="Y47" s="157" t="s">
        <v>595</v>
      </c>
      <c r="AF47" s="157" t="s">
        <v>587</v>
      </c>
    </row>
    <row r="48" spans="2:32">
      <c r="X48" s="545"/>
      <c r="Y48" s="157" t="s">
        <v>596</v>
      </c>
      <c r="AF48" s="157" t="s">
        <v>588</v>
      </c>
    </row>
    <row r="49" spans="24:32">
      <c r="X49" s="546"/>
      <c r="Y49" s="157" t="s">
        <v>597</v>
      </c>
      <c r="AF49" s="157" t="s">
        <v>589</v>
      </c>
    </row>
    <row r="50" spans="24:32">
      <c r="X50" s="544" t="s">
        <v>551</v>
      </c>
      <c r="Y50" s="157" t="s">
        <v>598</v>
      </c>
      <c r="AF50" s="157" t="s">
        <v>590</v>
      </c>
    </row>
    <row r="51" spans="24:32">
      <c r="X51" s="545"/>
      <c r="Y51" s="157" t="s">
        <v>599</v>
      </c>
      <c r="AF51" s="157" t="s">
        <v>591</v>
      </c>
    </row>
    <row r="52" spans="24:32" ht="25.5">
      <c r="X52" s="546"/>
      <c r="Y52" s="157" t="s">
        <v>600</v>
      </c>
      <c r="AF52" s="157" t="s">
        <v>592</v>
      </c>
    </row>
    <row r="53" spans="24:32">
      <c r="X53" s="544" t="s">
        <v>553</v>
      </c>
      <c r="Y53" s="157" t="s">
        <v>601</v>
      </c>
      <c r="AF53" s="157" t="s">
        <v>593</v>
      </c>
    </row>
    <row r="54" spans="24:32">
      <c r="X54" s="545"/>
      <c r="Y54" s="157" t="s">
        <v>602</v>
      </c>
      <c r="AF54" s="157" t="s">
        <v>594</v>
      </c>
    </row>
    <row r="55" spans="24:32">
      <c r="X55" s="546"/>
      <c r="Y55" s="157" t="s">
        <v>603</v>
      </c>
      <c r="AF55" s="157" t="s">
        <v>595</v>
      </c>
    </row>
    <row r="56" spans="24:32">
      <c r="X56" s="544" t="s">
        <v>555</v>
      </c>
      <c r="Y56" s="157" t="s">
        <v>604</v>
      </c>
      <c r="AF56" s="157" t="s">
        <v>596</v>
      </c>
    </row>
    <row r="57" spans="24:32">
      <c r="X57" s="546"/>
      <c r="Y57" s="157" t="s">
        <v>605</v>
      </c>
      <c r="AF57" s="157" t="s">
        <v>597</v>
      </c>
    </row>
    <row r="58" spans="24:32">
      <c r="X58" s="157" t="s">
        <v>557</v>
      </c>
      <c r="Y58" s="157" t="s">
        <v>606</v>
      </c>
      <c r="AF58" s="157" t="s">
        <v>598</v>
      </c>
    </row>
    <row r="59" spans="24:32">
      <c r="X59" s="544" t="s">
        <v>526</v>
      </c>
      <c r="Y59" s="157" t="s">
        <v>607</v>
      </c>
      <c r="AF59" s="157" t="s">
        <v>599</v>
      </c>
    </row>
    <row r="60" spans="24:32" ht="25.5">
      <c r="X60" s="545"/>
      <c r="Y60" s="157" t="s">
        <v>608</v>
      </c>
      <c r="AF60" s="157" t="s">
        <v>600</v>
      </c>
    </row>
    <row r="61" spans="24:32" ht="16.5" customHeight="1">
      <c r="X61" s="545"/>
      <c r="Y61" s="157" t="s">
        <v>527</v>
      </c>
      <c r="AF61" s="157" t="s">
        <v>601</v>
      </c>
    </row>
    <row r="62" spans="24:32" ht="16.5" customHeight="1">
      <c r="X62" s="545"/>
      <c r="Y62" s="157" t="s">
        <v>529</v>
      </c>
      <c r="AF62" s="157" t="s">
        <v>602</v>
      </c>
    </row>
    <row r="63" spans="24:32">
      <c r="X63" s="546"/>
      <c r="Y63" s="157" t="s">
        <v>609</v>
      </c>
      <c r="AF63" s="157" t="s">
        <v>603</v>
      </c>
    </row>
    <row r="64" spans="24:32">
      <c r="X64" s="157" t="s">
        <v>507</v>
      </c>
      <c r="Y64" s="157" t="s">
        <v>508</v>
      </c>
      <c r="AF64" s="157" t="s">
        <v>604</v>
      </c>
    </row>
    <row r="65" spans="24:32">
      <c r="X65" s="157" t="s">
        <v>559</v>
      </c>
      <c r="Y65" s="157" t="s">
        <v>610</v>
      </c>
      <c r="AF65" s="157" t="s">
        <v>605</v>
      </c>
    </row>
    <row r="66" spans="24:32">
      <c r="X66" s="157" t="s">
        <v>561</v>
      </c>
      <c r="Y66" s="157" t="s">
        <v>611</v>
      </c>
      <c r="AF66" s="157" t="s">
        <v>606</v>
      </c>
    </row>
    <row r="67" spans="24:32">
      <c r="X67" s="157" t="s">
        <v>562</v>
      </c>
      <c r="Y67" s="157" t="s">
        <v>612</v>
      </c>
      <c r="AF67" s="157" t="s">
        <v>607</v>
      </c>
    </row>
    <row r="68" spans="24:32" ht="25.5">
      <c r="X68" s="157" t="s">
        <v>564</v>
      </c>
      <c r="Y68" s="157" t="s">
        <v>613</v>
      </c>
      <c r="AF68" s="157" t="s">
        <v>608</v>
      </c>
    </row>
    <row r="69" spans="24:32">
      <c r="X69" s="157" t="s">
        <v>566</v>
      </c>
      <c r="Y69" s="157" t="s">
        <v>614</v>
      </c>
    </row>
    <row r="70" spans="24:32">
      <c r="X70" s="157" t="s">
        <v>568</v>
      </c>
      <c r="Y70" s="157" t="s">
        <v>615</v>
      </c>
    </row>
    <row r="71" spans="24:32">
      <c r="X71" s="157" t="s">
        <v>570</v>
      </c>
      <c r="Y71" s="157" t="s">
        <v>616</v>
      </c>
    </row>
    <row r="72" spans="24:32">
      <c r="X72" s="544" t="s">
        <v>572</v>
      </c>
      <c r="Y72" s="157" t="s">
        <v>617</v>
      </c>
    </row>
    <row r="73" spans="24:32">
      <c r="X73" s="545"/>
      <c r="Y73" s="157" t="s">
        <v>618</v>
      </c>
    </row>
    <row r="74" spans="24:32">
      <c r="X74" s="546"/>
      <c r="Y74" s="157" t="s">
        <v>619</v>
      </c>
    </row>
    <row r="75" spans="24:32">
      <c r="X75" s="544" t="s">
        <v>574</v>
      </c>
      <c r="Y75" s="157" t="s">
        <v>620</v>
      </c>
    </row>
    <row r="76" spans="24:32">
      <c r="X76" s="545"/>
      <c r="Y76" s="157" t="s">
        <v>621</v>
      </c>
    </row>
    <row r="77" spans="24:32">
      <c r="X77" s="545"/>
      <c r="Y77" s="157" t="s">
        <v>622</v>
      </c>
    </row>
    <row r="78" spans="24:32">
      <c r="X78" s="545"/>
      <c r="Y78" s="157" t="s">
        <v>623</v>
      </c>
    </row>
    <row r="79" spans="24:32">
      <c r="X79" s="546"/>
      <c r="Y79" s="157" t="s">
        <v>624</v>
      </c>
    </row>
    <row r="80" spans="24:32">
      <c r="X80" s="544" t="s">
        <v>576</v>
      </c>
      <c r="Y80" s="157" t="s">
        <v>625</v>
      </c>
    </row>
    <row r="81" spans="24:25" ht="16.5" customHeight="1">
      <c r="X81" s="546"/>
      <c r="Y81" s="157" t="s">
        <v>626</v>
      </c>
    </row>
    <row r="83" spans="24:25" ht="47.25" customHeight="1"/>
    <row r="86" spans="24:25" ht="16.5" customHeight="1"/>
    <row r="112" ht="16.5" customHeight="1"/>
    <row r="114" ht="16.5" customHeight="1"/>
    <row r="126" ht="149.25" customHeight="1"/>
    <row r="128" ht="187.5" customHeight="1"/>
    <row r="134" ht="16.5" customHeight="1"/>
    <row r="140" ht="47.25" customHeight="1"/>
    <row r="146" ht="72.75" customHeight="1"/>
    <row r="148" ht="136.5" customHeight="1"/>
    <row r="150" ht="85.5" customHeight="1"/>
    <row r="153" ht="85.5" customHeight="1"/>
    <row r="154" ht="16.5" customHeight="1"/>
    <row r="165" ht="16.5" customHeight="1"/>
    <row r="167" ht="16.5" customHeight="1"/>
    <row r="174" ht="16.5" customHeight="1"/>
    <row r="177" ht="60" customHeight="1"/>
    <row r="179" ht="187.5" customHeight="1"/>
    <row r="181" ht="158.25" customHeight="1"/>
    <row r="183" ht="16.5" customHeight="1"/>
    <row r="186" ht="34.5" customHeight="1"/>
    <row r="188" ht="162" customHeight="1"/>
    <row r="197" ht="200.25" customHeight="1"/>
    <row r="199" ht="111" customHeight="1"/>
    <row r="215" ht="60" customHeight="1"/>
    <row r="222" ht="16.5" customHeight="1"/>
    <row r="226" ht="111" customHeight="1"/>
    <row r="236" ht="162" customHeight="1"/>
    <row r="238" ht="85.5" customHeight="1"/>
    <row r="246" ht="30.75" customHeight="1"/>
    <row r="248" ht="16.5" customHeight="1"/>
    <row r="253" ht="72.75" customHeight="1"/>
    <row r="258" ht="21.75" customHeight="1"/>
    <row r="260" ht="60" customHeight="1"/>
    <row r="262" ht="162" customHeight="1"/>
    <row r="280" ht="85.5" customHeight="1"/>
    <row r="282" ht="21.75" customHeight="1"/>
  </sheetData>
  <dataConsolidate/>
  <mergeCells count="35">
    <mergeCell ref="T4:T5"/>
    <mergeCell ref="G7:M7"/>
    <mergeCell ref="B10:E10"/>
    <mergeCell ref="L4:L5"/>
    <mergeCell ref="M4:M5"/>
    <mergeCell ref="N4:N5"/>
    <mergeCell ref="O4:O5"/>
    <mergeCell ref="P4:S4"/>
    <mergeCell ref="B4:E4"/>
    <mergeCell ref="K4:K5"/>
    <mergeCell ref="G4:G5"/>
    <mergeCell ref="H4:H5"/>
    <mergeCell ref="I4:I5"/>
    <mergeCell ref="J4:J5"/>
    <mergeCell ref="X75:X79"/>
    <mergeCell ref="X80:X81"/>
    <mergeCell ref="X40:X49"/>
    <mergeCell ref="G9:G15"/>
    <mergeCell ref="X6:X10"/>
    <mergeCell ref="X27:X29"/>
    <mergeCell ref="X30:X31"/>
    <mergeCell ref="X32:X34"/>
    <mergeCell ref="X50:X52"/>
    <mergeCell ref="X53:X55"/>
    <mergeCell ref="X56:X57"/>
    <mergeCell ref="X59:X63"/>
    <mergeCell ref="X72:X74"/>
    <mergeCell ref="G8:M8"/>
    <mergeCell ref="C22:E23"/>
    <mergeCell ref="B25:B26"/>
    <mergeCell ref="C25:E26"/>
    <mergeCell ref="B11:E17"/>
    <mergeCell ref="X36:X39"/>
    <mergeCell ref="C19:E20"/>
    <mergeCell ref="X11:X26"/>
  </mergeCells>
  <phoneticPr fontId="2" type="noConversion"/>
  <dataValidations count="2">
    <dataValidation type="list" allowBlank="1" showInputMessage="1" showErrorMessage="1" sqref="I9:I1048576" xr:uid="{00000000-0002-0000-0300-000000000000}">
      <formula1>$AF$4:$AF$68</formula1>
    </dataValidation>
    <dataValidation type="list" allowBlank="1" showInputMessage="1" showErrorMessage="1" sqref="H9:H1048576" xr:uid="{00000000-0002-0000-0300-000001000000}">
      <formula1>$AD$4:$AD$34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C250"/>
  <sheetViews>
    <sheetView topLeftCell="A7" zoomScale="85" zoomScaleNormal="85" workbookViewId="0">
      <selection activeCell="E34" sqref="E34"/>
    </sheetView>
  </sheetViews>
  <sheetFormatPr defaultColWidth="0" defaultRowHeight="16.5" zeroHeight="1" outlineLevelCol="1"/>
  <cols>
    <col min="1" max="1" width="6" style="10" customWidth="1"/>
    <col min="2" max="2" width="9" style="10" customWidth="1"/>
    <col min="3" max="3" width="17.25" style="10" customWidth="1"/>
    <col min="4" max="4" width="9.5" style="10" customWidth="1"/>
    <col min="5" max="6" width="11.125" style="10" customWidth="1"/>
    <col min="7" max="7" width="15.75" style="10" customWidth="1"/>
    <col min="8" max="8" width="11.125" style="10" customWidth="1"/>
    <col min="9" max="9" width="13.625" style="10" bestFit="1" customWidth="1"/>
    <col min="10" max="11" width="3.5" style="10" customWidth="1"/>
    <col min="12" max="12" width="9.375" style="10" customWidth="1"/>
    <col min="13" max="14" width="11.125" style="10" customWidth="1"/>
    <col min="15" max="15" width="11.625" style="10" bestFit="1" customWidth="1"/>
    <col min="16" max="16" width="4.625" style="10" customWidth="1"/>
    <col min="17" max="17" width="12.875" style="10" customWidth="1"/>
    <col min="18" max="18" width="24.375" style="10" bestFit="1" customWidth="1"/>
    <col min="19" max="19" width="11" style="10" customWidth="1"/>
    <col min="20" max="20" width="8.25" style="10" customWidth="1"/>
    <col min="21" max="21" width="11" style="10" hidden="1" customWidth="1" outlineLevel="1"/>
    <col min="22" max="22" width="7.5" style="10" hidden="1" customWidth="1" outlineLevel="1"/>
    <col min="23" max="23" width="7.5" style="10" customWidth="1" collapsed="1"/>
    <col min="24" max="24" width="8.375" style="10" hidden="1" customWidth="1" outlineLevel="1"/>
    <col min="25" max="25" width="7" style="10" hidden="1" customWidth="1" outlineLevel="1"/>
    <col min="26" max="26" width="7" style="10" customWidth="1" collapsed="1"/>
    <col min="27" max="27" width="9.875" style="10" hidden="1" customWidth="1" outlineLevel="1"/>
    <col min="28" max="28" width="10.625" style="10" hidden="1" customWidth="1" outlineLevel="1"/>
    <col min="29" max="29" width="7" style="10" customWidth="1" collapsed="1"/>
    <col min="30" max="30" width="10.375" style="10" hidden="1" customWidth="1" outlineLevel="1"/>
    <col min="31" max="31" width="8.875" style="10" hidden="1" customWidth="1" outlineLevel="1"/>
    <col min="32" max="32" width="7.875" style="10" customWidth="1" collapsed="1"/>
    <col min="33" max="33" width="9.875" style="10" hidden="1" customWidth="1" outlineLevel="1"/>
    <col min="34" max="34" width="5.375" style="10" hidden="1" customWidth="1" outlineLevel="1"/>
    <col min="35" max="35" width="10.625" style="10" bestFit="1" customWidth="1" collapsed="1"/>
    <col min="36" max="36" width="4.875" style="10" customWidth="1"/>
    <col min="37" max="37" width="14.375" style="10" customWidth="1"/>
    <col min="38" max="38" width="26.5" style="10" bestFit="1" customWidth="1"/>
    <col min="39" max="39" width="9" style="10" customWidth="1"/>
    <col min="40" max="40" width="7.375" style="10" customWidth="1"/>
    <col min="41" max="41" width="10.625" style="10" hidden="1" customWidth="1" outlineLevel="1"/>
    <col min="42" max="42" width="7.625" style="10" hidden="1" customWidth="1" outlineLevel="1"/>
    <col min="43" max="43" width="7.625" style="10" customWidth="1" collapsed="1"/>
    <col min="44" max="44" width="10.75" style="10" hidden="1" customWidth="1" outlineLevel="1"/>
    <col min="45" max="45" width="9" style="10" hidden="1" customWidth="1" outlineLevel="1"/>
    <col min="46" max="46" width="9" style="10" customWidth="1" collapsed="1"/>
    <col min="47" max="47" width="10" style="10" hidden="1" customWidth="1" outlineLevel="1"/>
    <col min="48" max="48" width="9" style="10" hidden="1" customWidth="1" outlineLevel="1"/>
    <col min="49" max="49" width="9" style="10" customWidth="1" collapsed="1"/>
    <col min="50" max="50" width="10" style="10" hidden="1" customWidth="1" outlineLevel="1"/>
    <col min="51" max="51" width="9" style="10" hidden="1" customWidth="1" outlineLevel="1"/>
    <col min="52" max="52" width="9" style="10" customWidth="1" collapsed="1"/>
    <col min="53" max="53" width="10.375" style="10" hidden="1" customWidth="1" outlineLevel="1"/>
    <col min="54" max="54" width="4.625" style="10" hidden="1" customWidth="1" outlineLevel="1"/>
    <col min="55" max="55" width="9" style="10" hidden="1" customWidth="1" collapsed="1"/>
    <col min="56" max="65" width="9" style="10" hidden="1" customWidth="1"/>
    <col min="66" max="67" width="9" style="14" hidden="1" customWidth="1"/>
    <col min="68" max="68" width="10.375" style="14" hidden="1" customWidth="1"/>
    <col min="69" max="69" width="22.5" style="14" hidden="1" customWidth="1"/>
    <col min="70" max="70" width="32.875" style="14" hidden="1" customWidth="1"/>
    <col min="71" max="71" width="19.125" style="14" hidden="1" customWidth="1"/>
    <col min="72" max="72" width="11.75" style="14" hidden="1" customWidth="1"/>
    <col min="73" max="75" width="9" style="14" hidden="1" customWidth="1"/>
    <col min="76" max="76" width="17.5" style="14" hidden="1" customWidth="1"/>
    <col min="77" max="78" width="15" style="14" hidden="1" customWidth="1"/>
    <col min="79" max="79" width="16.75" style="14" hidden="1" customWidth="1"/>
    <col min="80" max="80" width="15.625" style="14" hidden="1" customWidth="1"/>
    <col min="81" max="86" width="15.125" style="14" hidden="1" customWidth="1"/>
    <col min="87" max="87" width="25.5" style="14" hidden="1" customWidth="1"/>
    <col min="88" max="88" width="19.25" style="14" hidden="1" customWidth="1"/>
    <col min="89" max="89" width="9" style="14" hidden="1" customWidth="1"/>
    <col min="90" max="90" width="20.125" style="14" hidden="1" customWidth="1"/>
    <col min="91" max="91" width="20" style="14" hidden="1" customWidth="1"/>
    <col min="92" max="105" width="9" style="14" hidden="1" customWidth="1"/>
    <col min="106" max="16384" width="9" style="10" hidden="1"/>
  </cols>
  <sheetData>
    <row r="1" spans="2:107" ht="18" thickTop="1" thickBot="1">
      <c r="O1" s="11"/>
      <c r="P1" s="12" t="s">
        <v>84</v>
      </c>
      <c r="Q1" s="162" t="s">
        <v>85</v>
      </c>
      <c r="R1" s="11"/>
      <c r="T1" s="13" t="s">
        <v>86</v>
      </c>
      <c r="AL1" s="11"/>
      <c r="BN1" s="586" t="s">
        <v>87</v>
      </c>
      <c r="BO1" s="587"/>
      <c r="BP1" s="587"/>
      <c r="BQ1" s="587"/>
      <c r="BR1" s="587"/>
      <c r="BS1" s="587"/>
      <c r="BT1" s="587"/>
      <c r="BU1" s="587"/>
      <c r="BV1" s="587"/>
      <c r="BW1" s="587"/>
      <c r="BX1" s="587"/>
      <c r="BY1" s="587"/>
      <c r="BZ1" s="587"/>
      <c r="CA1" s="587"/>
      <c r="CB1" s="587"/>
      <c r="CC1" s="587"/>
      <c r="CD1" s="587"/>
      <c r="CE1" s="587"/>
      <c r="CF1" s="587"/>
      <c r="CG1" s="587"/>
      <c r="CH1" s="587"/>
      <c r="CI1" s="587"/>
      <c r="CJ1" s="587"/>
      <c r="CK1" s="587"/>
      <c r="CL1" s="587"/>
      <c r="CM1" s="587"/>
      <c r="CN1" s="587"/>
      <c r="CO1" s="587"/>
      <c r="CP1" s="587"/>
      <c r="CQ1" s="587"/>
      <c r="CR1" s="587"/>
      <c r="CS1" s="587"/>
      <c r="CT1" s="587"/>
      <c r="CU1" s="587"/>
      <c r="CV1" s="587"/>
      <c r="CW1" s="587"/>
      <c r="CX1" s="587"/>
      <c r="CY1" s="587"/>
      <c r="CZ1" s="588"/>
    </row>
    <row r="2" spans="2:107">
      <c r="T2" s="13" t="s">
        <v>88</v>
      </c>
      <c r="BN2" s="589"/>
      <c r="BO2" s="590"/>
      <c r="BP2" s="590"/>
      <c r="BQ2" s="590"/>
      <c r="BR2" s="590"/>
      <c r="BS2" s="590"/>
      <c r="BT2" s="590"/>
      <c r="BU2" s="590"/>
      <c r="BV2" s="590"/>
      <c r="BW2" s="590"/>
      <c r="BX2" s="590"/>
      <c r="BY2" s="590"/>
      <c r="BZ2" s="590"/>
      <c r="CA2" s="590"/>
      <c r="CB2" s="590"/>
      <c r="CC2" s="590"/>
      <c r="CD2" s="590"/>
      <c r="CE2" s="590"/>
      <c r="CF2" s="590"/>
      <c r="CG2" s="590"/>
      <c r="CH2" s="590"/>
      <c r="CI2" s="590"/>
      <c r="CJ2" s="590"/>
      <c r="CK2" s="590"/>
      <c r="CL2" s="590"/>
      <c r="CM2" s="590"/>
      <c r="CN2" s="590"/>
      <c r="CO2" s="590"/>
      <c r="CP2" s="590"/>
      <c r="CQ2" s="590"/>
      <c r="CR2" s="590"/>
      <c r="CS2" s="590"/>
      <c r="CT2" s="590"/>
      <c r="CU2" s="590"/>
      <c r="CV2" s="590"/>
      <c r="CW2" s="590"/>
      <c r="CX2" s="590"/>
      <c r="CY2" s="590"/>
      <c r="CZ2" s="591"/>
    </row>
    <row r="3" spans="2:107" ht="20.25">
      <c r="B3" s="15" t="s">
        <v>89</v>
      </c>
      <c r="L3" s="15" t="s">
        <v>90</v>
      </c>
      <c r="T3" s="13" t="s">
        <v>91</v>
      </c>
      <c r="BN3" s="16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>
        <v>18</v>
      </c>
      <c r="CI3"/>
      <c r="CJ3"/>
      <c r="CK3"/>
      <c r="CL3" s="17" t="s">
        <v>92</v>
      </c>
      <c r="CM3"/>
      <c r="CN3"/>
      <c r="CO3"/>
      <c r="CP3"/>
      <c r="CQ3"/>
      <c r="CR3"/>
      <c r="CS3"/>
      <c r="CT3"/>
      <c r="CU3"/>
      <c r="CV3"/>
      <c r="CW3"/>
      <c r="CX3" t="s">
        <v>93</v>
      </c>
      <c r="CY3"/>
      <c r="CZ3" s="18"/>
      <c r="DA3"/>
    </row>
    <row r="4" spans="2:107">
      <c r="B4" s="19" t="s">
        <v>94</v>
      </c>
      <c r="L4" s="19" t="s">
        <v>95</v>
      </c>
      <c r="T4" s="13" t="s">
        <v>96</v>
      </c>
      <c r="BN4" s="16"/>
      <c r="BO4"/>
      <c r="BP4"/>
      <c r="BQ4" s="20" t="s">
        <v>97</v>
      </c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 s="17" t="s">
        <v>98</v>
      </c>
      <c r="CM4"/>
      <c r="CN4"/>
      <c r="CO4"/>
      <c r="CP4"/>
      <c r="CQ4"/>
      <c r="CR4"/>
      <c r="CS4"/>
      <c r="CT4"/>
      <c r="CU4"/>
      <c r="CV4"/>
      <c r="CW4"/>
      <c r="CX4" t="s">
        <v>99</v>
      </c>
      <c r="CY4"/>
      <c r="CZ4" s="18"/>
      <c r="DA4"/>
    </row>
    <row r="5" spans="2:107">
      <c r="B5" s="21" t="s">
        <v>100</v>
      </c>
      <c r="C5" s="21"/>
      <c r="D5" s="22"/>
      <c r="E5" s="23" t="s">
        <v>101</v>
      </c>
      <c r="F5" s="24"/>
      <c r="G5" s="24"/>
      <c r="H5" s="25"/>
      <c r="I5" s="26"/>
      <c r="J5"/>
      <c r="K5"/>
      <c r="L5" s="27" t="s">
        <v>102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N5" s="16"/>
      <c r="BO5"/>
      <c r="BP5"/>
      <c r="BQ5" s="5" t="s">
        <v>103</v>
      </c>
      <c r="BR5"/>
      <c r="BS5"/>
      <c r="BT5"/>
      <c r="BU5"/>
      <c r="BV5"/>
      <c r="BW5"/>
      <c r="BX5"/>
      <c r="BY5"/>
      <c r="BZ5"/>
      <c r="CA5"/>
      <c r="CB5"/>
      <c r="CC5" s="20" t="s">
        <v>104</v>
      </c>
      <c r="CD5"/>
      <c r="CE5"/>
      <c r="CF5"/>
      <c r="CG5"/>
      <c r="CH5"/>
      <c r="CI5"/>
      <c r="CJ5"/>
      <c r="CK5"/>
      <c r="CL5" s="28" t="s">
        <v>105</v>
      </c>
      <c r="CM5"/>
      <c r="CN5"/>
      <c r="CO5"/>
      <c r="CP5"/>
      <c r="CQ5"/>
      <c r="CR5"/>
      <c r="CS5"/>
      <c r="CT5"/>
      <c r="CU5"/>
      <c r="CV5"/>
      <c r="CW5"/>
      <c r="CX5" t="s">
        <v>106</v>
      </c>
      <c r="CY5"/>
      <c r="CZ5" s="18"/>
      <c r="DA5"/>
    </row>
    <row r="6" spans="2:107">
      <c r="B6" s="29"/>
      <c r="C6" s="29"/>
      <c r="D6" s="30"/>
      <c r="E6" s="31" t="s">
        <v>107</v>
      </c>
      <c r="F6" s="32" t="s">
        <v>108</v>
      </c>
      <c r="G6" s="32" t="s">
        <v>109</v>
      </c>
      <c r="H6" s="33" t="s">
        <v>110</v>
      </c>
      <c r="I6" s="34" t="s">
        <v>111</v>
      </c>
      <c r="J6"/>
      <c r="K6"/>
      <c r="L6" s="35" t="s">
        <v>112</v>
      </c>
      <c r="M6" s="35"/>
      <c r="N6" s="35"/>
      <c r="O6" s="36" t="s">
        <v>113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7"/>
      <c r="AI6" s="38" t="s">
        <v>114</v>
      </c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N6" s="16"/>
      <c r="BO6" s="40"/>
      <c r="BP6" s="41"/>
      <c r="BQ6" s="42"/>
      <c r="BR6" s="42"/>
      <c r="BS6" s="42"/>
      <c r="BT6" s="592" t="s">
        <v>115</v>
      </c>
      <c r="BU6" s="592"/>
      <c r="BV6" s="42"/>
      <c r="BW6" s="43"/>
      <c r="BX6" s="43"/>
      <c r="BY6" s="44"/>
      <c r="BZ6" s="44"/>
      <c r="CA6" s="45"/>
      <c r="CB6" s="46"/>
      <c r="CC6" s="593" t="s">
        <v>116</v>
      </c>
      <c r="CD6" s="593"/>
      <c r="CE6" s="593"/>
      <c r="CF6" s="593"/>
      <c r="CG6" s="593" t="s">
        <v>117</v>
      </c>
      <c r="CH6" s="593"/>
      <c r="CI6" s="47"/>
      <c r="CJ6" s="48"/>
      <c r="CK6"/>
      <c r="CL6" s="20" t="s">
        <v>118</v>
      </c>
      <c r="CM6"/>
      <c r="CN6"/>
      <c r="CO6"/>
      <c r="CP6" t="s">
        <v>119</v>
      </c>
      <c r="CQ6"/>
      <c r="CR6"/>
      <c r="CS6"/>
      <c r="CT6"/>
      <c r="CU6"/>
      <c r="CV6" t="s">
        <v>120</v>
      </c>
      <c r="CW6"/>
      <c r="CX6"/>
      <c r="CY6"/>
      <c r="CZ6" s="18"/>
      <c r="DA6"/>
    </row>
    <row r="7" spans="2:107" s="61" customFormat="1" ht="63.75" customHeight="1" thickBot="1">
      <c r="B7" s="49" t="s">
        <v>121</v>
      </c>
      <c r="C7" s="49" t="s">
        <v>122</v>
      </c>
      <c r="D7" s="50" t="s">
        <v>123</v>
      </c>
      <c r="E7" s="51" t="s">
        <v>124</v>
      </c>
      <c r="F7" s="52" t="s">
        <v>125</v>
      </c>
      <c r="G7" s="52" t="s">
        <v>126</v>
      </c>
      <c r="H7" s="259" t="s">
        <v>127</v>
      </c>
      <c r="I7" s="53" t="s">
        <v>128</v>
      </c>
      <c r="J7"/>
      <c r="K7"/>
      <c r="L7" s="54" t="s">
        <v>129</v>
      </c>
      <c r="M7" s="54" t="s">
        <v>130</v>
      </c>
      <c r="N7" s="54" t="s">
        <v>131</v>
      </c>
      <c r="O7" s="55" t="s">
        <v>132</v>
      </c>
      <c r="P7" s="55" t="s">
        <v>133</v>
      </c>
      <c r="Q7" s="55" t="s">
        <v>134</v>
      </c>
      <c r="R7" s="55" t="s">
        <v>135</v>
      </c>
      <c r="S7" s="55" t="s">
        <v>136</v>
      </c>
      <c r="T7" s="55" t="s">
        <v>137</v>
      </c>
      <c r="U7" s="55" t="s">
        <v>138</v>
      </c>
      <c r="V7" s="55" t="s">
        <v>139</v>
      </c>
      <c r="W7" s="56" t="s">
        <v>140</v>
      </c>
      <c r="X7" s="55" t="s">
        <v>141</v>
      </c>
      <c r="Y7" s="55" t="s">
        <v>142</v>
      </c>
      <c r="Z7" s="56" t="s">
        <v>143</v>
      </c>
      <c r="AA7" s="55" t="s">
        <v>144</v>
      </c>
      <c r="AB7" s="55" t="s">
        <v>145</v>
      </c>
      <c r="AC7" s="56" t="s">
        <v>146</v>
      </c>
      <c r="AD7" s="55" t="s">
        <v>147</v>
      </c>
      <c r="AE7" s="55" t="s">
        <v>148</v>
      </c>
      <c r="AF7" s="56" t="s">
        <v>149</v>
      </c>
      <c r="AG7" s="55" t="s">
        <v>150</v>
      </c>
      <c r="AH7" s="57" t="s">
        <v>151</v>
      </c>
      <c r="AI7" s="58" t="s">
        <v>152</v>
      </c>
      <c r="AJ7" s="59" t="s">
        <v>153</v>
      </c>
      <c r="AK7" s="60" t="s">
        <v>154</v>
      </c>
      <c r="AL7" s="59" t="s">
        <v>155</v>
      </c>
      <c r="AM7" s="59" t="s">
        <v>156</v>
      </c>
      <c r="AN7" s="59" t="s">
        <v>157</v>
      </c>
      <c r="AO7" s="59" t="s">
        <v>158</v>
      </c>
      <c r="AP7" s="59" t="s">
        <v>159</v>
      </c>
      <c r="AQ7" s="56" t="s">
        <v>160</v>
      </c>
      <c r="AR7" s="59" t="s">
        <v>161</v>
      </c>
      <c r="AS7" s="59" t="s">
        <v>162</v>
      </c>
      <c r="AT7" s="56" t="s">
        <v>163</v>
      </c>
      <c r="AU7" s="59" t="s">
        <v>164</v>
      </c>
      <c r="AV7" s="59" t="s">
        <v>165</v>
      </c>
      <c r="AW7" s="56" t="s">
        <v>166</v>
      </c>
      <c r="AX7" s="59" t="s">
        <v>147</v>
      </c>
      <c r="AY7" s="59" t="s">
        <v>167</v>
      </c>
      <c r="AZ7" s="56" t="s">
        <v>168</v>
      </c>
      <c r="BA7" s="59" t="s">
        <v>150</v>
      </c>
      <c r="BB7" s="59" t="s">
        <v>169</v>
      </c>
      <c r="BN7" s="62" t="s">
        <v>170</v>
      </c>
      <c r="BO7" s="41"/>
      <c r="BP7" s="41"/>
      <c r="BQ7" s="63" t="s">
        <v>171</v>
      </c>
      <c r="BR7" s="63" t="s">
        <v>172</v>
      </c>
      <c r="BS7" s="63" t="s">
        <v>173</v>
      </c>
      <c r="BT7" s="64" t="s">
        <v>174</v>
      </c>
      <c r="BU7" s="64" t="s">
        <v>175</v>
      </c>
      <c r="BV7" s="63" t="s">
        <v>176</v>
      </c>
      <c r="BW7" s="65" t="s">
        <v>177</v>
      </c>
      <c r="BX7" s="66" t="s">
        <v>178</v>
      </c>
      <c r="BY7" s="67" t="s">
        <v>179</v>
      </c>
      <c r="BZ7" s="67" t="s">
        <v>180</v>
      </c>
      <c r="CA7" s="68" t="s">
        <v>181</v>
      </c>
      <c r="CB7" s="69" t="s">
        <v>182</v>
      </c>
      <c r="CC7" s="70" t="s">
        <v>183</v>
      </c>
      <c r="CD7" s="70" t="s">
        <v>184</v>
      </c>
      <c r="CE7" s="70" t="s">
        <v>185</v>
      </c>
      <c r="CF7" s="70" t="s">
        <v>186</v>
      </c>
      <c r="CG7" s="70" t="s">
        <v>187</v>
      </c>
      <c r="CH7" s="70" t="s">
        <v>188</v>
      </c>
      <c r="CI7" s="71" t="s">
        <v>189</v>
      </c>
      <c r="CJ7" s="72" t="s">
        <v>190</v>
      </c>
      <c r="CK7" s="5"/>
      <c r="CL7" s="73" t="s">
        <v>191</v>
      </c>
      <c r="CM7" s="73" t="s">
        <v>192</v>
      </c>
      <c r="CN7" s="5"/>
      <c r="CO7" s="5"/>
      <c r="CP7" s="73"/>
      <c r="CQ7" s="73" t="s">
        <v>193</v>
      </c>
      <c r="CR7" s="73" t="s">
        <v>194</v>
      </c>
      <c r="CS7" s="73" t="s">
        <v>195</v>
      </c>
      <c r="CT7" s="73" t="s">
        <v>196</v>
      </c>
      <c r="CU7" s="5"/>
      <c r="CV7" s="73" t="s">
        <v>197</v>
      </c>
      <c r="CW7" s="73" t="s">
        <v>30</v>
      </c>
      <c r="CX7" s="73" t="s">
        <v>198</v>
      </c>
      <c r="CY7" s="73" t="s">
        <v>199</v>
      </c>
      <c r="CZ7" s="74" t="s">
        <v>200</v>
      </c>
      <c r="DA7" s="5"/>
    </row>
    <row r="8" spans="2:107" ht="16.5" customHeight="1" thickTop="1" thickBot="1">
      <c r="B8" s="75"/>
      <c r="C8" s="76" t="s">
        <v>201</v>
      </c>
      <c r="D8" s="77"/>
      <c r="E8" s="78">
        <f>SUM(E9:E13)</f>
        <v>70389.725350000008</v>
      </c>
      <c r="F8" s="78">
        <f>SUM(F9:F13)</f>
        <v>35194.862675000004</v>
      </c>
      <c r="G8" s="79">
        <f>SUM(G9:G13)</f>
        <v>0</v>
      </c>
      <c r="H8" s="261">
        <f>ROUNDDOWN(SUM(H9:H13),0)</f>
        <v>35194</v>
      </c>
      <c r="I8" s="258">
        <f t="shared" ref="I8:I13" si="0">IFERROR((E8-F8)/E8,0)</f>
        <v>0.5</v>
      </c>
      <c r="J8"/>
      <c r="K8"/>
      <c r="L8" s="75"/>
      <c r="M8" s="257">
        <f>SUM(M9:M35)</f>
        <v>70389.725350000008</v>
      </c>
      <c r="N8" s="257">
        <f>SUM(N9:N35)</f>
        <v>35194.862675000004</v>
      </c>
      <c r="O8" s="75"/>
      <c r="P8" s="75"/>
      <c r="Q8" s="75"/>
      <c r="R8" s="75"/>
      <c r="S8" s="79"/>
      <c r="T8" s="80"/>
      <c r="U8" s="81" t="str">
        <f>IF(X8&lt;&gt;"",MID(X8,FIND("/",X8)+1,LEN(X8)),"")</f>
        <v/>
      </c>
      <c r="V8" s="82" t="str">
        <f>IFERROR(IF($O8&lt;&gt;"",IF($P8&lt;3,IF(RIGHT($O8,4)="연료연소",IFERROR(VLOOKUP($Q8,IF($P8=1,EF_Combustion1,EF_Combustion2),10,0),VLOOKUP(VLOOKUP($Q8,재분류,2,0),IF($P8=1,EF_Combustion1,EF_Combustion2),10,0)),IF(LEFT($O8,2)="이동",VLOOKUP($Q8,EF_Combustion_mobile,10,0),VLOOKUP($Q8,EF_Indirect,10,0))),"Tier3"),""),0)</f>
        <v/>
      </c>
      <c r="W8" s="83"/>
      <c r="X8" s="84" t="str">
        <f>IFERROR(IF($O8&lt;&gt;"",IF($P8&lt;3,IF(RIGHT($O8,4)="연료연소",IFERROR(VLOOKUP($Q8,IF($P8=1,EF_Combustion1,EF_Combustion2),8,0),VLOOKUP(VLOOKUP($Q8,재분류,2,0),IF($P8=1,EF_Combustion1,EF_Combustion2),8,0)),IF(LEFT($O8,2)="이동",VLOOKUP($Q8,EF_Combustion_mobile,8,0),VLOOKUP($Q8,EF_Indirect,8,0))),"Tier3"),""),0)</f>
        <v/>
      </c>
      <c r="Y8" s="85" t="str">
        <f>IFERROR(IF($O8&lt;&gt;"",IF($P8&lt;3,IF(RIGHT($O8,4)="연료연소",IFERROR(VLOOKUP($Q8,IF($P8=1,EF_Combustion1,EF_Combustion2),12,0),VLOOKUP(VLOOKUP($Q8,재분류,2,0),IF($P8=1,EF_Combustion1,EF_Combustion2),12,0)),IF(LEFT($O8,2)="이동",VLOOKUP($Q8,EF_Combustion_mobile,12,0),VLOOKUP($Q8,EF_Indirect,12,0))),"Tier3"),""),0)</f>
        <v/>
      </c>
      <c r="Z8" s="86"/>
      <c r="AA8" s="80" t="str">
        <f>IFERROR(IF($O8&lt;&gt;"",IF($P8&lt;3,IF(RIGHT($O8,4)="연료연소",IFERROR(VLOOKUP($Q8,IF($P8=1,EF_Combustion1,EF_Combustion2),11,0),VLOOKUP(VLOOKUP($Q8,재분류,2,0),IF($P8=1,EF_Combustion1,EF_Combustion2),11,0)),IF(LEFT($O8,2)="이동",VLOOKUP($Q8,EF_Combustion_mobile,11,0),VLOOKUP($Q8,EF_Indirect,11,0))),"Tier3"),""),0)</f>
        <v/>
      </c>
      <c r="AB8" s="87" t="str">
        <f>IFERROR(IF($O8&lt;&gt;"",IF($P8&lt;3,IF(RIGHT($O8,4)="연료연소",IFERROR(VLOOKUP($Q8,IF($P8=1,EF_Combustion1,EF_Combustion2),12+VLOOKUP($D8,업종분류,2,0),0),VLOOKUP(VLOOKUP($Q8,재분류,2,0),IF($P8=1,EF_Combustion1,EF_Combustion2),12+VLOOKUP($D8,업종분류,2,0),0)),IF(LEFT($O8,2)="이동",VLOOKUP($Q8,EF_Combustion_mobile,12+VLOOKUP($D8,업종분류,2,0),0),VLOOKUP($Q8,EF_Indirect,12+VLOOKUP($D8,업종분류,2,0),0))),"Tier3"),""),0)</f>
        <v/>
      </c>
      <c r="AC8" s="88"/>
      <c r="AD8" s="80" t="str">
        <f>AA8</f>
        <v/>
      </c>
      <c r="AE8" s="87" t="str">
        <f>IFERROR(IF($O8&lt;&gt;"",IF($P8&lt;3,IF(RIGHT($O8,4)="연료연소",IFERROR(VLOOKUP($Q8,IF($P8=1,EF_Combustion1,EF_Combustion2),16+VLOOKUP($D8,업종분류,3,0),0),VLOOKUP(VLOOKUP($Q8,재분류,2,0),IF($P8=1,EF_Combustion1,EF_Combustion2),16+VLOOKUP($D8,업종분류,3,0),0)),IF(LEFT($O8,2)="이동",VLOOKUP($Q8,EF_Combustion_mobile,16+VLOOKUP($D8,업종분류,3,0),0),VLOOKUP($Q8,EF_Indirect,16+VLOOKUP($D8,업종분류,3,0),0))),"Tier3"),""),0)</f>
        <v/>
      </c>
      <c r="AF8" s="88"/>
      <c r="AG8" s="80" t="str">
        <f>AA8</f>
        <v/>
      </c>
      <c r="AH8" s="89" t="str">
        <f>IFERROR(IF($O8&lt;&gt;"",IF(LEFT($O8,2)="이동",1,
   CHOOSE($P8,1,IF(LEFT($O8,2)="고체",IF($D8="에너지",0.99,0.98),IF(LEFT($O8,2)="기체",0.995,0.99)),IF(LEFT($O8,2)="고체","사업자제공",IF(LEFT($O8,2)="기체",1,0.99)))),""),0)</f>
        <v/>
      </c>
      <c r="AI8" s="90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N8" s="62" t="s">
        <v>202</v>
      </c>
      <c r="BO8" s="594" t="s">
        <v>203</v>
      </c>
      <c r="BP8" s="91" t="s">
        <v>204</v>
      </c>
      <c r="BQ8" s="91" t="s">
        <v>205</v>
      </c>
      <c r="BR8" s="91" t="s">
        <v>205</v>
      </c>
      <c r="BS8" s="91"/>
      <c r="BT8" s="91"/>
      <c r="BU8" s="91"/>
      <c r="BV8" s="91"/>
      <c r="BW8" s="91"/>
      <c r="BX8" s="91" t="s">
        <v>206</v>
      </c>
      <c r="BY8" s="91">
        <v>38.9</v>
      </c>
      <c r="BZ8" s="91">
        <v>42.2</v>
      </c>
      <c r="CA8" s="91" t="s">
        <v>207</v>
      </c>
      <c r="CB8" s="92">
        <v>75100</v>
      </c>
      <c r="CC8" s="91">
        <v>3</v>
      </c>
      <c r="CD8" s="91">
        <v>3</v>
      </c>
      <c r="CE8" s="91">
        <v>10</v>
      </c>
      <c r="CF8" s="91">
        <v>10</v>
      </c>
      <c r="CG8" s="91">
        <v>0.6</v>
      </c>
      <c r="CH8" s="91">
        <v>0.6</v>
      </c>
      <c r="CI8" s="4" t="s">
        <v>208</v>
      </c>
      <c r="CJ8" s="4" t="s">
        <v>205</v>
      </c>
      <c r="CK8"/>
      <c r="CL8" s="4" t="s">
        <v>209</v>
      </c>
      <c r="CM8" s="4" t="s">
        <v>210</v>
      </c>
      <c r="CN8"/>
      <c r="CO8"/>
      <c r="CP8" s="93" t="s">
        <v>211</v>
      </c>
      <c r="CQ8" s="94">
        <v>1</v>
      </c>
      <c r="CR8" s="4">
        <v>0.98</v>
      </c>
      <c r="CS8" s="4">
        <v>1</v>
      </c>
      <c r="CT8" s="4" t="s">
        <v>212</v>
      </c>
      <c r="CU8"/>
      <c r="CV8" s="4" t="s">
        <v>213</v>
      </c>
      <c r="CW8" s="4"/>
      <c r="CX8" s="4" t="s">
        <v>214</v>
      </c>
      <c r="CY8" s="4">
        <v>1</v>
      </c>
      <c r="CZ8" s="95" t="s">
        <v>215</v>
      </c>
      <c r="DA8"/>
    </row>
    <row r="9" spans="2:107" ht="17.25" thickTop="1">
      <c r="B9" s="96">
        <v>1</v>
      </c>
      <c r="C9" s="207"/>
      <c r="D9" s="182" t="str">
        <f t="shared" ref="D9:D13" si="1">$Q$1</f>
        <v>제조업</v>
      </c>
      <c r="E9" s="183">
        <f>SUMIF($L$9:$L$35,$B9,M$9:M$35)</f>
        <v>70389.725350000008</v>
      </c>
      <c r="F9" s="184">
        <f>SUMIF($L$9:$L$35,$B9,N$9:N$35)</f>
        <v>35194.862675000004</v>
      </c>
      <c r="G9" s="208"/>
      <c r="H9" s="260">
        <f>IF(AND(E9&lt;&gt;0),E9-F9-G9,0)</f>
        <v>35194.862675000004</v>
      </c>
      <c r="I9" s="98">
        <f t="shared" si="0"/>
        <v>0.5</v>
      </c>
      <c r="J9"/>
      <c r="K9"/>
      <c r="L9" s="211">
        <v>1</v>
      </c>
      <c r="M9" s="173">
        <f>IF($Q9&lt;&gt;"",IF($P9&lt;3,IF(LEFT($O9,2)&lt;&gt;"간접",$S9*$V9*VLOOKUP($T9,단위환산,4,0)*($Y9*$AH9+$AB9*21+$AE9*310)/(10^6),$S9*VLOOKUP($T9,단위환산,4,0)*($Y9+$AB9*21+$AE9*310)*IF(LEFT($Q9,1)="열",1/1000,1)),IF(LEFT($O9,2)&lt;&gt;"간접",$S9*$W9*VLOOKUP($T9,단위환산,4,0)*($Z9*$AH9+$AC9*21+$AF9*310)/(10^6),$S9*VLOOKUP($T9,단위환산,4,0)*($Z9+$AC9*21+$AF9*310)*IF(LEFT($Q9,1)="열",1/1000,1) )),0)</f>
        <v>2115.8222000000001</v>
      </c>
      <c r="N9" s="173">
        <f>IF($AK9&lt;&gt;"",IF($AJ9&lt;3,IF(LEFT($AI9,2)&lt;&gt;"간접",$AM9*$AP9*VLOOKUP($AN9,단위환산,4,0)*($AS9*$BB9+$AV9*21+$AY9*310)/(10^6),$AM9*VLOOKUP($AN9,단위환산,4,0)*($AS9+$AV9*21+$AY9*310)*IF(LEFT($Q9,1)="열",1/1000,1)),IF(LEFT($AI9,2)&lt;&gt;"간접",$AM9*$AQ9*VLOOKUP($AN9,단위환산,4,0)*($AT9*$BB9+$AW9*21+$AZ9*310)/(10^6),$AM9*VLOOKUP($AN9,단위환산,4,0)*($AT9+$AW9*21+$AZ9*310)*IF(LEFT($Q9,1)="열",1/1000,1))),0)</f>
        <v>1057.9111</v>
      </c>
      <c r="O9" s="619" t="s">
        <v>233</v>
      </c>
      <c r="P9" s="619">
        <v>2</v>
      </c>
      <c r="Q9" s="619" t="s">
        <v>264</v>
      </c>
      <c r="R9" s="628"/>
      <c r="S9" s="629">
        <v>1000</v>
      </c>
      <c r="T9" s="264" t="s">
        <v>235</v>
      </c>
      <c r="U9" s="187" t="str">
        <f t="shared" ref="U9:U35" si="2">IF(X9&lt;&gt;"",IF(Q9&lt;&gt;"전력",MID(X9,FIND("/",X9)+1,LEN(X9)),MID(AA9,FIND("/",AA9)+1,LEN(AA9))),"")</f>
        <v>Gg</v>
      </c>
      <c r="V9" s="188">
        <f>IFERROR(IF($O9&lt;&gt;"",IF($P9&lt;3,IF(RIGHT($O9,4)="연료연소",IFERROR(VLOOKUP($Q9,IF($P9=1,EF_Combustion1,EF_Combustion2),10,0),VLOOKUP(VLOOKUP($Q9,재분류,2,0),IF($P9=1,EF_Combustion1,EF_Combustion2),10,0)),IF(LEFT($O9,2)="이동",VLOOKUP($Q9,EF_Combustion_mobile,10,0),VLOOKUP($Q9,EF_Indirect,10,0))),"Tier3"),""),0)</f>
        <v>19.399999999999999</v>
      </c>
      <c r="W9" s="226"/>
      <c r="X9" s="227" t="str">
        <f>IFERROR(IF($O9&lt;&gt;"",IF($P9&lt;3,IF(RIGHT($O9,4)="연료연소",IFERROR(VLOOKUP($Q9,IF($P9=1,EF_Combustion1,EF_Combustion2),8,0),VLOOKUP(VLOOKUP($Q9,재분류,2,0),IF($P9=1,EF_Combustion1,EF_Combustion2),8,0)),IF(LEFT($O9,2)="이동",VLOOKUP($Q9,EF_Combustion_mobile,8,0),VLOOKUP($Q9,EF_Indirect,8,0))),"Tier3"),""),0)</f>
        <v>TJ/Gg</v>
      </c>
      <c r="Y9" s="228">
        <f>IFERROR(IF($O9&lt;&gt;"",IF($P9&lt;3,IF(RIGHT($O9,4)="연료연소",IFERROR(VLOOKUP($Q9,IF($P9=1,EF_Combustion1,EF_Combustion2),12,0),VLOOKUP(VLOOKUP($Q9,재분류,2,0),IF($P9=1,EF_Combustion1,EF_Combustion2),12,0)),IF(LEFT($O9,2)="이동",VLOOKUP($Q9,EF_Combustion_mobile,12,0),VLOOKUP($Q9,EF_Indirect,12,0))),"Tier3"),""),0)</f>
        <v>110600</v>
      </c>
      <c r="Z9" s="228"/>
      <c r="AA9" s="229" t="str">
        <f>IFERROR(IF($O9&lt;&gt;"",IF($P9&lt;3,IF(RIGHT($O9,4)="연료연소",IFERROR(VLOOKUP($Q9,IF($P9=1,EF_Combustion1,EF_Combustion2),11,0),VLOOKUP(VLOOKUP($Q9,재분류,2,0),IF($P9=1,EF_Combustion1,EF_Combustion2),11,0)),IF(LEFT($O9,2)="이동",VLOOKUP($Q9,EF_Combustion_mobile,11,0),VLOOKUP($Q9,EF_Indirect,11,0))),"Tier3"),""),0)</f>
        <v>㎏GHG/TJ</v>
      </c>
      <c r="AB9" s="230">
        <f>IFERROR(IF($O9&lt;&gt;"",IF($P9&lt;3,IF(RIGHT($O9,4)="연료연소",IFERROR(VLOOKUP($Q9,IF($P9=1,EF_Combustion1,EF_Combustion2),12+VLOOKUP(적용업종,업종분류,2,0),0),VLOOKUP(VLOOKUP($Q9,재분류,2,0),IF($P9=1,EF_Combustion1,EF_Combustion2),12+VLOOKUP(적용업종,업종분류,2,0),0)),IF(LEFT($O9,2)="이동",VLOOKUP($Q9,EF_Combustion_mobile,12+VLOOKUP(적용업종,업종분류,2,0),0),VLOOKUP($Q9,EF_Indirect,12+VLOOKUP(적용업종,업종분류,2,0),0))),"Tier3"),""),0)</f>
        <v>10</v>
      </c>
      <c r="AC9" s="230"/>
      <c r="AD9" s="229" t="str">
        <f t="shared" ref="AD9:AD35" si="3">AA9</f>
        <v>㎏GHG/TJ</v>
      </c>
      <c r="AE9" s="230">
        <f>IFERROR(IF($O9&lt;&gt;"",IF($P9&lt;3,IF(RIGHT($O9,4)="연료연소",IFERROR(VLOOKUP($Q9,IF($P9=1,EF_Combustion1,EF_Combustion2),16+VLOOKUP(적용업종,업종분류,3,0),0),VLOOKUP(VLOOKUP($Q9,재분류,2,0),IF($P9=1,EF_Combustion1,EF_Combustion2),16+VLOOKUP(적용업종,업종분류,3,0),0)),IF(LEFT($O9,2)="이동",VLOOKUP($Q9,EF_Combustion_mobile,16+VLOOKUP(적용업종,업종분류,3,0),0),VLOOKUP($Q9,EF_Indirect,16+VLOOKUP(적용업종,업종분류,3,0),0))),"Tier3"),""),0)</f>
        <v>1.5</v>
      </c>
      <c r="AF9" s="230"/>
      <c r="AG9" s="225" t="str">
        <f t="shared" ref="AG9:AG35" si="4">AA9</f>
        <v>㎏GHG/TJ</v>
      </c>
      <c r="AH9" s="189">
        <f t="shared" ref="AH9:AH35" si="5">IFERROR(IF($O9&lt;&gt;"",IF(LEFT($O9,2)="이동",1,
   CHOOSE($P9,1,IF(LEFT($O9,2)="고체",IF(적용업종="에너지",0.99,0.98),IF(LEFT($O9,2)="기체",0.995,0.99)),IF(LEFT($O9,2)="고체","사업자제공",IF(LEFT($O9,2)="기체",1,0.99)))),""),0)</f>
        <v>0.98</v>
      </c>
      <c r="AI9" s="630" t="s">
        <v>233</v>
      </c>
      <c r="AJ9" s="619">
        <v>2</v>
      </c>
      <c r="AK9" s="619" t="s">
        <v>264</v>
      </c>
      <c r="AL9" s="631"/>
      <c r="AM9" s="629">
        <v>500</v>
      </c>
      <c r="AN9" s="264" t="s">
        <v>235</v>
      </c>
      <c r="AO9" s="187" t="str">
        <f t="shared" ref="AO9:AO35" si="6">IF(AR9&lt;&gt;"",IF(AK9&lt;&gt;"전력",MID(AR9,FIND("/",AR9)+1,LEN(AR9)),MID(AU9,FIND("/",AU9)+1,LEN(AU9))),"")</f>
        <v>Gg</v>
      </c>
      <c r="AP9" s="188">
        <f>IFERROR(IF($AI9&lt;&gt;"",IF($AJ9&lt;3,IF(RIGHT($AI9,4)="연료연소",IFERROR(VLOOKUP($AK9,IF($AJ9=1,EF_Combustion1,EF_Combustion2),10,0),VLOOKUP(VLOOKUP($AK9,재분류,2,0),IF($AJ9=1,EF_Combustion1,EF_Combustion2),10,0)),IF(LEFT($AI9,2)="이동",VLOOKUP($AK9,EF_Combustion_mobile,10,0),VLOOKUP($AK9,EF_Indirect,10,0))),"Tier3"),""),0)</f>
        <v>19.399999999999999</v>
      </c>
      <c r="AQ9" s="226"/>
      <c r="AR9" s="227" t="str">
        <f>IFERROR(IF($AI9&lt;&gt;"",IF($AJ9&lt;3,IF(RIGHT($AI9,4)="연료연소",IFERROR(VLOOKUP($AK9,IF($AJ9=1,EF_Combustion1,EF_Combustion2),8,0),VLOOKUP(VLOOKUP($AK9,재분류,2,0),IF($AJ9=1,EF_Combustion1,EF_Combustion2),8,0)),IF(LEFT($AI9,2)="이동",VLOOKUP($AK9,EF_Combustion_mobile,8,0),VLOOKUP($AK9,EF_Indirect,8,0))),"Tier3"),""),0)</f>
        <v>TJ/Gg</v>
      </c>
      <c r="AS9" s="228">
        <f>IFERROR(IF($AI9&lt;&gt;"",IF($AJ9&lt;3,IF(RIGHT($AI9,4)="연료연소",IFERROR(VLOOKUP($AK9,IF($AJ9=1,EF_Combustion1,EF_Combustion2),12,0),VLOOKUP(VLOOKUP($AK9,재분류,2,0),IF($AJ9=1,EF_Combustion1,EF_Combustion2),12,0)),IF(LEFT($AI9,2)="이동",VLOOKUP($AK9,EF_Combustion_mobile,12,0),VLOOKUP($AK9,EF_Indirect,12,0))),"Tier3"),""),0)</f>
        <v>110600</v>
      </c>
      <c r="AT9" s="228"/>
      <c r="AU9" s="229" t="str">
        <f>IFERROR(IF($AI9&lt;&gt;"",IF($AJ9&lt;3,IF(RIGHT($AI9,4)="연료연소",IFERROR(VLOOKUP($AK9,IF($AJ9=1,EF_Combustion1,EF_Combustion2),11,0),VLOOKUP(VLOOKUP($AK9,재분류,2,0),IF($AJ9=1,EF_Combustion1,EF_Combustion2),11,0)),IF(LEFT($AI9,2)="이동",VLOOKUP($AK9,EF_Combustion_mobile,11,0),VLOOKUP($AK9,EF_Indirect,11,0))),"Tier3"),""),0)</f>
        <v>㎏GHG/TJ</v>
      </c>
      <c r="AV9" s="230">
        <f>IFERROR(IF($AI9&lt;&gt;"",IF($AJ9&lt;3,IF(RIGHT($AI9,4)="연료연소",IFERROR(VLOOKUP($AK9,IF($AJ9=1,EF_Combustion1,EF_Combustion2),12+VLOOKUP(적용업종,업종분류,2,0),0),VLOOKUP(VLOOKUP($AK9,재분류,2,0),IF($AJ9=1,EF_Combustion1,EF_Combustion2),12+VLOOKUP(적용업종,업종분류,2,0),0)),IF(LEFT($AI9,2)="이동",VLOOKUP($AK9,EF_Combustion_mobile,12+VLOOKUP(적용업종,업종분류,2,0),0),VLOOKUP($AK9,EF_Indirect,12+VLOOKUP(적용업종,업종분류,2,0),0))),"Tier3"),""),0)</f>
        <v>10</v>
      </c>
      <c r="AW9" s="230"/>
      <c r="AX9" s="229" t="str">
        <f t="shared" ref="AX9:AX35" si="7">AU9</f>
        <v>㎏GHG/TJ</v>
      </c>
      <c r="AY9" s="230">
        <f>IFERROR(IF($AI9&lt;&gt;"",IF($AJ9&lt;3,IF(RIGHT($AI9,4)="연료연소",IFERROR(VLOOKUP($AK9,IF($AJ9=1,EF_Combustion1,EF_Combustion2),16+VLOOKUP(적용업종,업종분류,3,0),0),VLOOKUP(VLOOKUP($AK9,재분류,2,0),IF($AJ9=1,EF_Combustion1,EF_Combustion2),16+VLOOKUP(적용업종,업종분류,3,0),0)),IF(LEFT($AI9,2)="이동",VLOOKUP($AK9,EF_Combustion_mobile,16+VLOOKUP(적용업종,업종분류,3,0),0),VLOOKUP($AK9,EF_Indirect,16+VLOOKUP(적용업종,업종분류,3,0),0))),"Tier3"),""),0)</f>
        <v>1.5</v>
      </c>
      <c r="AZ9" s="230"/>
      <c r="BA9" s="225" t="str">
        <f t="shared" ref="BA9:BA35" si="8">AU9</f>
        <v>㎏GHG/TJ</v>
      </c>
      <c r="BB9" s="190">
        <f t="shared" ref="BB9:BB35" si="9">IFERROR(IF($AI9&lt;&gt;"",IF(LEFT($AI9,2)="이동",1,
   CHOOSE($AJ9,1,IF(LEFT($AI9,2)="고체",IF(적용업종="에너지",0.99,0.98),IF(LEFT($AI9,2)="기체",0.995,0.99)),IF(LEFT($AI9,2)="고체","사업자제공",IF(LEFT($AI9,2)="기체",1,0.99)))),""),0)</f>
        <v>0.98</v>
      </c>
      <c r="BN9" s="62" t="s">
        <v>217</v>
      </c>
      <c r="BO9" s="595"/>
      <c r="BP9" s="91" t="s">
        <v>204</v>
      </c>
      <c r="BQ9" s="91" t="s">
        <v>218</v>
      </c>
      <c r="BR9" s="91" t="s">
        <v>218</v>
      </c>
      <c r="BS9" s="91"/>
      <c r="BT9" s="91"/>
      <c r="BU9" s="91"/>
      <c r="BV9" s="91"/>
      <c r="BW9" s="91"/>
      <c r="BX9" s="91" t="s">
        <v>206</v>
      </c>
      <c r="BY9" s="91">
        <v>40.5</v>
      </c>
      <c r="BZ9" s="91">
        <v>41.2</v>
      </c>
      <c r="CA9" s="91" t="s">
        <v>207</v>
      </c>
      <c r="CB9" s="92">
        <v>76400</v>
      </c>
      <c r="CC9" s="91">
        <v>3</v>
      </c>
      <c r="CD9" s="91">
        <v>3</v>
      </c>
      <c r="CE9" s="91">
        <v>10</v>
      </c>
      <c r="CF9" s="91">
        <v>10</v>
      </c>
      <c r="CG9" s="91">
        <v>0.6</v>
      </c>
      <c r="CH9" s="91">
        <v>0.6</v>
      </c>
      <c r="CI9" s="4" t="s">
        <v>219</v>
      </c>
      <c r="CJ9" s="4" t="s">
        <v>218</v>
      </c>
      <c r="CK9"/>
      <c r="CL9" s="4" t="s">
        <v>220</v>
      </c>
      <c r="CM9" s="4" t="s">
        <v>221</v>
      </c>
      <c r="CN9"/>
      <c r="CO9"/>
      <c r="CP9" s="93" t="s">
        <v>222</v>
      </c>
      <c r="CQ9" s="94">
        <v>1</v>
      </c>
      <c r="CR9" s="4">
        <v>0.995</v>
      </c>
      <c r="CS9" s="4">
        <v>1</v>
      </c>
      <c r="CT9" s="4"/>
      <c r="CU9"/>
      <c r="CV9" s="4" t="s">
        <v>223</v>
      </c>
      <c r="CW9" s="4"/>
      <c r="CX9" s="4" t="s">
        <v>224</v>
      </c>
      <c r="CY9" s="4">
        <v>1E-3</v>
      </c>
      <c r="CZ9" s="95" t="s">
        <v>225</v>
      </c>
      <c r="DA9"/>
    </row>
    <row r="10" spans="2:107">
      <c r="B10" s="96"/>
      <c r="C10" s="207"/>
      <c r="D10" s="182" t="str">
        <f t="shared" si="1"/>
        <v>제조업</v>
      </c>
      <c r="E10" s="183">
        <f t="shared" ref="E10" si="10">SUMIF($L$9:$L$35,$B10,M$9:M$35)</f>
        <v>0</v>
      </c>
      <c r="F10" s="184">
        <f t="shared" ref="F10" si="11">SUMIF($L$9:$L$35,$B10,N$9:N$35)</f>
        <v>0</v>
      </c>
      <c r="G10" s="208"/>
      <c r="H10" s="97">
        <f>IF(AND(E10&lt;&gt;0,F10&lt;&gt;0),E10-F10-G10,0)</f>
        <v>0</v>
      </c>
      <c r="I10" s="98">
        <f t="shared" si="0"/>
        <v>0</v>
      </c>
      <c r="J10"/>
      <c r="K10"/>
      <c r="L10" s="211">
        <v>1</v>
      </c>
      <c r="M10" s="173">
        <f t="shared" ref="M10:M14" si="12">IF($Q10&lt;&gt;"",IF($P10&lt;3,IF(LEFT($O10,2)&lt;&gt;"간접",$S10*$V10*VLOOKUP($T10,단위환산,4,0)*($Y10*$AH10+$AB10*21+$AE10*310)/(10^6),$S10*VLOOKUP($T10,단위환산,4,0)*($Y10+$AB10*21+$AE10*310)*IF(LEFT($Q10,1)="열",1/1000,1)),IF(LEFT($O10,2)&lt;&gt;"간접",$S10*$W10*VLOOKUP($T10,단위환산,4,0)*($Z10*$AH10+$AC10*21+$AF10*310)/(10^6),$S10*VLOOKUP($T10,단위환산,4,0)*($Z10+$AC10*21+$AF10*310)*IF(LEFT($Q10,1)="열",1/1000,1) )),0)</f>
        <v>2173.4013500000001</v>
      </c>
      <c r="N10" s="173">
        <f t="shared" ref="N10:N14" si="13">IF($AK10&lt;&gt;"",IF($AJ10&lt;3,IF(LEFT($AI10,2)&lt;&gt;"간접",$AM10*$AP10*VLOOKUP($AN10,단위환산,4,0)*($AS10*$BB10+$AV10*21+$AY10*310)/(10^6),$AM10*VLOOKUP($AN10,단위환산,4,0)*($AS10+$AV10*21+$AY10*310)*IF(LEFT($Q10,1)="열",1/1000,1)),IF(LEFT($AI10,2)&lt;&gt;"간접",$AM10*$AQ10*VLOOKUP($AN10,단위환산,4,0)*($AT10*$BB10+$AW10*21+$AZ10*310)/(10^6),$AM10*VLOOKUP($AN10,단위환산,4,0)*($AT10+$AW10*21+$AZ10*310)*IF(LEFT($Q10,1)="열",1/1000,1))),0)</f>
        <v>1086.700675</v>
      </c>
      <c r="O10" s="619" t="s">
        <v>236</v>
      </c>
      <c r="P10" s="619">
        <v>2</v>
      </c>
      <c r="Q10" s="619" t="s">
        <v>237</v>
      </c>
      <c r="R10" s="628"/>
      <c r="S10" s="629">
        <v>1000</v>
      </c>
      <c r="T10" s="264" t="s">
        <v>238</v>
      </c>
      <c r="U10" s="187" t="str">
        <f t="shared" si="2"/>
        <v>10^6㎥</v>
      </c>
      <c r="V10" s="188">
        <f>IFERROR(IF($O10&lt;&gt;"",IF($P10&lt;3,IF(RIGHT($O10,4)="연료연소",IFERROR(VLOOKUP($Q10,IF($P10=1,EF_Combustion1,EF_Combustion2),10,0),VLOOKUP(VLOOKUP($Q10,재분류,2,0),IF($P10=1,EF_Combustion1,EF_Combustion2),10,0)),IF(LEFT($O10,2)="이동",VLOOKUP($Q10,EF_Combustion_mobile,10,0),VLOOKUP($Q10,EF_Indirect,10,0))),"Tier3"),""),0)</f>
        <v>38.9</v>
      </c>
      <c r="W10" s="226"/>
      <c r="X10" s="227" t="str">
        <f>IFERROR(IF($O10&lt;&gt;"",IF($P10&lt;3,IF(RIGHT($O10,4)="연료연소",IFERROR(VLOOKUP($Q10,IF($P10=1,EF_Combustion1,EF_Combustion2),8,0),VLOOKUP(VLOOKUP($Q10,재분류,2,0),IF($P10=1,EF_Combustion1,EF_Combustion2),8,0)),IF(LEFT($O10,2)="이동",VLOOKUP($Q10,EF_Combustion_mobile,8,0),VLOOKUP($Q10,EF_Indirect,8,0))),"Tier3"),""),0)</f>
        <v>TJ/10^6㎥</v>
      </c>
      <c r="Y10" s="228">
        <f>IFERROR(IF($O10&lt;&gt;"",IF($P10&lt;3,IF(RIGHT($O10,4)="연료연소",IFERROR(VLOOKUP($Q10,IF($P10=1,EF_Combustion1,EF_Combustion2),12,0),VLOOKUP(VLOOKUP($Q10,재분류,2,0),IF($P10=1,EF_Combustion1,EF_Combustion2),12,0)),IF(LEFT($O10,2)="이동",VLOOKUP($Q10,EF_Combustion_mobile,12,0),VLOOKUP($Q10,EF_Indirect,12,0))),"Tier3"),""),0)</f>
        <v>56100</v>
      </c>
      <c r="Z10" s="228"/>
      <c r="AA10" s="229" t="str">
        <f>IFERROR(IF($O10&lt;&gt;"",IF($P10&lt;3,IF(RIGHT($O10,4)="연료연소",IFERROR(VLOOKUP($Q10,IF($P10=1,EF_Combustion1,EF_Combustion2),11,0),VLOOKUP(VLOOKUP($Q10,재분류,2,0),IF($P10=1,EF_Combustion1,EF_Combustion2),11,0)),IF(LEFT($O10,2)="이동",VLOOKUP($Q10,EF_Combustion_mobile,11,0),VLOOKUP($Q10,EF_Indirect,11,0))),"Tier3"),""),0)</f>
        <v>㎏GHG/TJ</v>
      </c>
      <c r="AB10" s="230">
        <f>IFERROR(IF($O10&lt;&gt;"",IF($P10&lt;3,IF(RIGHT($O10,4)="연료연소",IFERROR(VLOOKUP($Q10,IF($P10=1,EF_Combustion1,EF_Combustion2),12+VLOOKUP(적용업종,업종분류,2,0),0),VLOOKUP(VLOOKUP($Q10,재분류,2,0),IF($P10=1,EF_Combustion1,EF_Combustion2),12+VLOOKUP(적용업종,업종분류,2,0),0)),IF(LEFT($O10,2)="이동",VLOOKUP($Q10,EF_Combustion_mobile,12+VLOOKUP(적용업종,업종분류,2,0),0),VLOOKUP($Q10,EF_Indirect,12+VLOOKUP(적용업종,업종분류,2,0),0))),"Tier3"),""),0)</f>
        <v>1</v>
      </c>
      <c r="AC10" s="230"/>
      <c r="AD10" s="229" t="str">
        <f t="shared" si="3"/>
        <v>㎏GHG/TJ</v>
      </c>
      <c r="AE10" s="230">
        <f>IFERROR(IF($O10&lt;&gt;"",IF($P10&lt;3,IF(RIGHT($O10,4)="연료연소",IFERROR(VLOOKUP($Q10,IF($P10=1,EF_Combustion1,EF_Combustion2),16+VLOOKUP(적용업종,업종분류,3,0),0),VLOOKUP(VLOOKUP($Q10,재분류,2,0),IF($P10=1,EF_Combustion1,EF_Combustion2),16+VLOOKUP(적용업종,업종분류,3,0),0)),IF(LEFT($O10,2)="이동",VLOOKUP($Q10,EF_Combustion_mobile,16+VLOOKUP(적용업종,업종분류,3,0),0),VLOOKUP($Q10,EF_Indirect,16+VLOOKUP(적용업종,업종분류,3,0),0))),"Tier3"),""),0)</f>
        <v>0.1</v>
      </c>
      <c r="AF10" s="230"/>
      <c r="AG10" s="225" t="str">
        <f t="shared" si="4"/>
        <v>㎏GHG/TJ</v>
      </c>
      <c r="AH10" s="189">
        <f t="shared" si="5"/>
        <v>0.995</v>
      </c>
      <c r="AI10" s="630" t="s">
        <v>236</v>
      </c>
      <c r="AJ10" s="619">
        <v>2</v>
      </c>
      <c r="AK10" s="619" t="s">
        <v>237</v>
      </c>
      <c r="AL10" s="628"/>
      <c r="AM10" s="629">
        <v>500</v>
      </c>
      <c r="AN10" s="264" t="s">
        <v>238</v>
      </c>
      <c r="AO10" s="187" t="str">
        <f t="shared" si="6"/>
        <v>10^6㎥</v>
      </c>
      <c r="AP10" s="188">
        <f>IFERROR(IF($AI10&lt;&gt;"",IF($AJ10&lt;3,IF(RIGHT($AI10,4)="연료연소",IFERROR(VLOOKUP($AK10,IF($AJ10=1,EF_Combustion1,EF_Combustion2),10,0),VLOOKUP(VLOOKUP($AK10,재분류,2,0),IF($AJ10=1,EF_Combustion1,EF_Combustion2),10,0)),IF(LEFT($AI10,2)="이동",VLOOKUP($AK10,EF_Combustion_mobile,10,0),VLOOKUP($AK10,EF_Indirect,10,0))),"Tier3"),""),0)</f>
        <v>38.9</v>
      </c>
      <c r="AQ10" s="226"/>
      <c r="AR10" s="227" t="str">
        <f>IFERROR(IF($AI10&lt;&gt;"",IF($AJ10&lt;3,IF(RIGHT($AI10,4)="연료연소",IFERROR(VLOOKUP($AK10,IF($AJ10=1,EF_Combustion1,EF_Combustion2),8,0),VLOOKUP(VLOOKUP($AK10,재분류,2,0),IF($AJ10=1,EF_Combustion1,EF_Combustion2),8,0)),IF(LEFT($AI10,2)="이동",VLOOKUP($AK10,EF_Combustion_mobile,8,0),VLOOKUP($AK10,EF_Indirect,8,0))),"Tier3"),""),0)</f>
        <v>TJ/10^6㎥</v>
      </c>
      <c r="AS10" s="228">
        <f>IFERROR(IF($AI10&lt;&gt;"",IF($AJ10&lt;3,IF(RIGHT($AI10,4)="연료연소",IFERROR(VLOOKUP($AK10,IF($AJ10=1,EF_Combustion1,EF_Combustion2),12,0),VLOOKUP(VLOOKUP($AK10,재분류,2,0),IF($AJ10=1,EF_Combustion1,EF_Combustion2),12,0)),IF(LEFT($AI10,2)="이동",VLOOKUP($AK10,EF_Combustion_mobile,12,0),VLOOKUP($AK10,EF_Indirect,12,0))),"Tier3"),""),0)</f>
        <v>56100</v>
      </c>
      <c r="AT10" s="228"/>
      <c r="AU10" s="229" t="str">
        <f>IFERROR(IF($AI10&lt;&gt;"",IF($AJ10&lt;3,IF(RIGHT($AI10,4)="연료연소",IFERROR(VLOOKUP($AK10,IF($AJ10=1,EF_Combustion1,EF_Combustion2),11,0),VLOOKUP(VLOOKUP($AK10,재분류,2,0),IF($AJ10=1,EF_Combustion1,EF_Combustion2),11,0)),IF(LEFT($AI10,2)="이동",VLOOKUP($AK10,EF_Combustion_mobile,11,0),VLOOKUP($AK10,EF_Indirect,11,0))),"Tier3"),""),0)</f>
        <v>㎏GHG/TJ</v>
      </c>
      <c r="AV10" s="230">
        <f>IFERROR(IF($AI10&lt;&gt;"",IF($AJ10&lt;3,IF(RIGHT($AI10,4)="연료연소",IFERROR(VLOOKUP($AK10,IF($AJ10=1,EF_Combustion1,EF_Combustion2),12+VLOOKUP(적용업종,업종분류,2,0),0),VLOOKUP(VLOOKUP($AK10,재분류,2,0),IF($AJ10=1,EF_Combustion1,EF_Combustion2),12+VLOOKUP(적용업종,업종분류,2,0),0)),IF(LEFT($AI10,2)="이동",VLOOKUP($AK10,EF_Combustion_mobile,12+VLOOKUP(적용업종,업종분류,2,0),0),VLOOKUP($AK10,EF_Indirect,12+VLOOKUP(적용업종,업종분류,2,0),0))),"Tier3"),""),0)</f>
        <v>1</v>
      </c>
      <c r="AW10" s="230"/>
      <c r="AX10" s="229" t="str">
        <f t="shared" si="7"/>
        <v>㎏GHG/TJ</v>
      </c>
      <c r="AY10" s="230">
        <f>IFERROR(IF($AI10&lt;&gt;"",IF($AJ10&lt;3,IF(RIGHT($AI10,4)="연료연소",IFERROR(VLOOKUP($AK10,IF($AJ10=1,EF_Combustion1,EF_Combustion2),16+VLOOKUP(적용업종,업종분류,3,0),0),VLOOKUP(VLOOKUP($AK10,재분류,2,0),IF($AJ10=1,EF_Combustion1,EF_Combustion2),16+VLOOKUP(적용업종,업종분류,3,0),0)),IF(LEFT($AI10,2)="이동",VLOOKUP($AK10,EF_Combustion_mobile,16+VLOOKUP(적용업종,업종분류,3,0),0),VLOOKUP($AK10,EF_Indirect,16+VLOOKUP(적용업종,업종분류,3,0),0))),"Tier3"),""),0)</f>
        <v>0.1</v>
      </c>
      <c r="AZ10" s="230"/>
      <c r="BA10" s="225" t="str">
        <f t="shared" si="8"/>
        <v>㎏GHG/TJ</v>
      </c>
      <c r="BB10" s="190">
        <f t="shared" si="9"/>
        <v>0.995</v>
      </c>
      <c r="BN10" s="62" t="s">
        <v>217</v>
      </c>
      <c r="BO10" s="595"/>
      <c r="BP10" s="91" t="s">
        <v>226</v>
      </c>
      <c r="BQ10" s="91" t="s">
        <v>227</v>
      </c>
      <c r="BR10" s="91" t="s">
        <v>227</v>
      </c>
      <c r="BS10" s="91"/>
      <c r="BT10" s="91"/>
      <c r="BU10" s="91"/>
      <c r="BV10" s="91"/>
      <c r="BW10" s="91"/>
      <c r="BX10" s="99" t="s">
        <v>206</v>
      </c>
      <c r="BY10" s="91">
        <v>41.6</v>
      </c>
      <c r="BZ10" s="91">
        <v>39.200000000000003</v>
      </c>
      <c r="CA10" s="91" t="s">
        <v>207</v>
      </c>
      <c r="CB10" s="92">
        <v>77400</v>
      </c>
      <c r="CC10" s="91">
        <v>3</v>
      </c>
      <c r="CD10" s="91">
        <v>3</v>
      </c>
      <c r="CE10" s="91">
        <v>10</v>
      </c>
      <c r="CF10" s="91">
        <v>10</v>
      </c>
      <c r="CG10" s="91">
        <v>0.6</v>
      </c>
      <c r="CH10" s="91">
        <v>0.6</v>
      </c>
      <c r="CI10" s="4" t="s">
        <v>228</v>
      </c>
      <c r="CJ10" s="4" t="s">
        <v>227</v>
      </c>
      <c r="CK10"/>
      <c r="CL10" s="4" t="s">
        <v>229</v>
      </c>
      <c r="CM10" s="4" t="s">
        <v>230</v>
      </c>
      <c r="CN10"/>
      <c r="CO10"/>
      <c r="CP10" s="93" t="s">
        <v>217</v>
      </c>
      <c r="CQ10" s="94">
        <v>1</v>
      </c>
      <c r="CR10" s="4">
        <v>0.99</v>
      </c>
      <c r="CS10" s="4">
        <v>0.99</v>
      </c>
      <c r="CT10" s="4"/>
      <c r="CU10"/>
      <c r="CV10" s="4" t="s">
        <v>231</v>
      </c>
      <c r="CW10" s="4"/>
      <c r="CX10" s="4" t="s">
        <v>214</v>
      </c>
      <c r="CY10" s="4">
        <v>1</v>
      </c>
      <c r="CZ10" s="95" t="s">
        <v>232</v>
      </c>
      <c r="DA10"/>
    </row>
    <row r="11" spans="2:107" ht="15" customHeight="1">
      <c r="B11" s="96"/>
      <c r="C11" s="207"/>
      <c r="D11" s="182" t="str">
        <f t="shared" si="1"/>
        <v>제조업</v>
      </c>
      <c r="E11" s="183">
        <f t="shared" ref="E11:E13" si="14">SUMIF($L$9:$L$35,$B11,M$9:M$35)</f>
        <v>0</v>
      </c>
      <c r="F11" s="184">
        <f t="shared" ref="F11:F13" si="15">SUMIF($L$9:$L$35,$B11,N$9:N$35)</f>
        <v>0</v>
      </c>
      <c r="G11" s="208"/>
      <c r="H11" s="97">
        <f t="shared" ref="H11:H13" si="16">IF(AND(E11&lt;&gt;0,F11&lt;&gt;0),E11-F11-G11,0)</f>
        <v>0</v>
      </c>
      <c r="I11" s="98">
        <f t="shared" si="0"/>
        <v>0</v>
      </c>
      <c r="J11"/>
      <c r="K11"/>
      <c r="L11" s="211">
        <v>1</v>
      </c>
      <c r="M11" s="173">
        <f t="shared" si="12"/>
        <v>3126.0432000000001</v>
      </c>
      <c r="N11" s="173">
        <f t="shared" si="13"/>
        <v>1563.0216</v>
      </c>
      <c r="O11" s="619" t="s">
        <v>662</v>
      </c>
      <c r="P11" s="619">
        <v>2</v>
      </c>
      <c r="Q11" s="619" t="s">
        <v>227</v>
      </c>
      <c r="R11" s="628"/>
      <c r="S11" s="629">
        <v>1000</v>
      </c>
      <c r="T11" s="264" t="s">
        <v>268</v>
      </c>
      <c r="U11" s="187" t="str">
        <f t="shared" si="2"/>
        <v>1000㎥</v>
      </c>
      <c r="V11" s="188">
        <f>IFERROR(IF($O11&lt;&gt;"",IF($P11&lt;3,IF(RIGHT($O11,4)="연료연소",IFERROR(VLOOKUP($Q11,IF($P11=1,EF_Combustion1,EF_Combustion2),10,0),VLOOKUP(VLOOKUP($Q11,재분류,2,0),IF($P11=1,EF_Combustion1,EF_Combustion2),10,0)),IF(LEFT($O11,2)="이동",VLOOKUP($Q11,EF_Combustion_mobile,10,0),VLOOKUP($Q11,EF_Indirect,10,0))),"Tier3"),""),0)</f>
        <v>39.200000000000003</v>
      </c>
      <c r="W11" s="226"/>
      <c r="X11" s="227" t="str">
        <f>IFERROR(IF($O11&lt;&gt;"",IF($P11&lt;3,IF(RIGHT($O11,4)="연료연소",IFERROR(VLOOKUP($Q11,IF($P11=1,EF_Combustion1,EF_Combustion2),8,0),VLOOKUP(VLOOKUP($Q11,재분류,2,0),IF($P11=1,EF_Combustion1,EF_Combustion2),8,0)),IF(LEFT($O11,2)="이동",VLOOKUP($Q11,EF_Combustion_mobile,8,0),VLOOKUP($Q11,EF_Indirect,8,0))),"Tier3"),""),0)</f>
        <v>TJ/1000㎥</v>
      </c>
      <c r="Y11" s="228">
        <f>IFERROR(IF($O11&lt;&gt;"",IF($P11&lt;3,IF(RIGHT($O11,4)="연료연소",IFERROR(VLOOKUP($Q11,IF($P11=1,EF_Combustion1,EF_Combustion2),12,0),VLOOKUP(VLOOKUP($Q11,재분류,2,0),IF($P11=1,EF_Combustion1,EF_Combustion2),12,0)),IF(LEFT($O11,2)="이동",VLOOKUP($Q11,EF_Combustion_mobile,12,0),VLOOKUP($Q11,EF_Indirect,12,0))),"Tier3"),""),0)</f>
        <v>80300</v>
      </c>
      <c r="Z11" s="228"/>
      <c r="AA11" s="229" t="str">
        <f>IFERROR(IF($O11&lt;&gt;"",IF($P11&lt;3,IF(RIGHT($O11,4)="연료연소",IFERROR(VLOOKUP($Q11,IF($P11=1,EF_Combustion1,EF_Combustion2),11,0),VLOOKUP(VLOOKUP($Q11,재분류,2,0),IF($P11=1,EF_Combustion1,EF_Combustion2),11,0)),IF(LEFT($O11,2)="이동",VLOOKUP($Q11,EF_Combustion_mobile,11,0),VLOOKUP($Q11,EF_Indirect,11,0))),"Tier3"),""),0)</f>
        <v>㎏GHG/TJ</v>
      </c>
      <c r="AB11" s="230">
        <f>IFERROR(IF($O11&lt;&gt;"",IF($P11&lt;3,IF(RIGHT($O11,4)="연료연소",IFERROR(VLOOKUP($Q11,IF($P11=1,EF_Combustion1,EF_Combustion2),12+VLOOKUP(적용업종,업종분류,2,0),0),VLOOKUP(VLOOKUP($Q11,재분류,2,0),IF($P11=1,EF_Combustion1,EF_Combustion2),12+VLOOKUP(적용업종,업종분류,2,0),0)),IF(LEFT($O11,2)="이동",VLOOKUP($Q11,EF_Combustion_mobile,12+VLOOKUP(적용업종,업종분류,2,0),0),VLOOKUP($Q11,EF_Indirect,12+VLOOKUP(적용업종,업종분류,2,0),0))),"Tier3"),""),0)</f>
        <v>3</v>
      </c>
      <c r="AC11" s="230"/>
      <c r="AD11" s="229" t="str">
        <f t="shared" si="3"/>
        <v>㎏GHG/TJ</v>
      </c>
      <c r="AE11" s="230">
        <f>IFERROR(IF($O11&lt;&gt;"",IF($P11&lt;3,IF(RIGHT($O11,4)="연료연소",IFERROR(VLOOKUP($Q11,IF($P11=1,EF_Combustion1,EF_Combustion2),16+VLOOKUP(적용업종,업종분류,3,0),0),VLOOKUP(VLOOKUP($Q11,재분류,2,0),IF($P11=1,EF_Combustion1,EF_Combustion2),16+VLOOKUP(적용업종,업종분류,3,0),0)),IF(LEFT($O11,2)="이동",VLOOKUP($Q11,EF_Combustion_mobile,16+VLOOKUP(적용업종,업종분류,3,0),0),VLOOKUP($Q11,EF_Indirect,16+VLOOKUP(적용업종,업종분류,3,0),0))),"Tier3"),""),0)</f>
        <v>0.6</v>
      </c>
      <c r="AF11" s="230"/>
      <c r="AG11" s="225" t="str">
        <f t="shared" si="4"/>
        <v>㎏GHG/TJ</v>
      </c>
      <c r="AH11" s="189">
        <f t="shared" si="5"/>
        <v>0.99</v>
      </c>
      <c r="AI11" s="630" t="s">
        <v>662</v>
      </c>
      <c r="AJ11" s="619">
        <v>2</v>
      </c>
      <c r="AK11" s="619" t="s">
        <v>227</v>
      </c>
      <c r="AL11" s="619"/>
      <c r="AM11" s="629">
        <v>500</v>
      </c>
      <c r="AN11" s="264" t="s">
        <v>268</v>
      </c>
      <c r="AO11" s="187" t="str">
        <f t="shared" si="6"/>
        <v>1000㎥</v>
      </c>
      <c r="AP11" s="188">
        <f>IFERROR(IF($AI11&lt;&gt;"",IF($AJ11&lt;3,IF(RIGHT($AI11,4)="연료연소",IFERROR(VLOOKUP($AK11,IF($AJ11=1,EF_Combustion1,EF_Combustion2),10,0),VLOOKUP(VLOOKUP($AK11,재분류,2,0),IF($AJ11=1,EF_Combustion1,EF_Combustion2),10,0)),IF(LEFT($AI11,2)="이동",VLOOKUP($AK11,EF_Combustion_mobile,10,0),VLOOKUP($AK11,EF_Indirect,10,0))),"Tier3"),""),0)</f>
        <v>39.200000000000003</v>
      </c>
      <c r="AQ11" s="226"/>
      <c r="AR11" s="227" t="str">
        <f>IFERROR(IF($AI11&lt;&gt;"",IF($AJ11&lt;3,IF(RIGHT($AI11,4)="연료연소",IFERROR(VLOOKUP($AK11,IF($AJ11=1,EF_Combustion1,EF_Combustion2),8,0),VLOOKUP(VLOOKUP($AK11,재분류,2,0),IF($AJ11=1,EF_Combustion1,EF_Combustion2),8,0)),IF(LEFT($AI11,2)="이동",VLOOKUP($AK11,EF_Combustion_mobile,8,0),VLOOKUP($AK11,EF_Indirect,8,0))),"Tier3"),""),0)</f>
        <v>TJ/1000㎥</v>
      </c>
      <c r="AS11" s="228">
        <f>IFERROR(IF($AI11&lt;&gt;"",IF($AJ11&lt;3,IF(RIGHT($AI11,4)="연료연소",IFERROR(VLOOKUP($AK11,IF($AJ11=1,EF_Combustion1,EF_Combustion2),12,0),VLOOKUP(VLOOKUP($AK11,재분류,2,0),IF($AJ11=1,EF_Combustion1,EF_Combustion2),12,0)),IF(LEFT($AI11,2)="이동",VLOOKUP($AK11,EF_Combustion_mobile,12,0),VLOOKUP($AK11,EF_Indirect,12,0))),"Tier3"),""),0)</f>
        <v>80300</v>
      </c>
      <c r="AT11" s="228"/>
      <c r="AU11" s="229" t="str">
        <f>IFERROR(IF($AI11&lt;&gt;"",IF($AJ11&lt;3,IF(RIGHT($AI11,4)="연료연소",IFERROR(VLOOKUP($AK11,IF($AJ11=1,EF_Combustion1,EF_Combustion2),11,0),VLOOKUP(VLOOKUP($AK11,재분류,2,0),IF($AJ11=1,EF_Combustion1,EF_Combustion2),11,0)),IF(LEFT($AI11,2)="이동",VLOOKUP($AK11,EF_Combustion_mobile,11,0),VLOOKUP($AK11,EF_Indirect,11,0))),"Tier3"),""),0)</f>
        <v>㎏GHG/TJ</v>
      </c>
      <c r="AV11" s="230">
        <f>IFERROR(IF($AI11&lt;&gt;"",IF($AJ11&lt;3,IF(RIGHT($AI11,4)="연료연소",IFERROR(VLOOKUP($AK11,IF($AJ11=1,EF_Combustion1,EF_Combustion2),12+VLOOKUP(적용업종,업종분류,2,0),0),VLOOKUP(VLOOKUP($AK11,재분류,2,0),IF($AJ11=1,EF_Combustion1,EF_Combustion2),12+VLOOKUP(적용업종,업종분류,2,0),0)),IF(LEFT($AI11,2)="이동",VLOOKUP($AK11,EF_Combustion_mobile,12+VLOOKUP(적용업종,업종분류,2,0),0),VLOOKUP($AK11,EF_Indirect,12+VLOOKUP(적용업종,업종분류,2,0),0))),"Tier3"),""),0)</f>
        <v>3</v>
      </c>
      <c r="AW11" s="230"/>
      <c r="AX11" s="229" t="str">
        <f t="shared" si="7"/>
        <v>㎏GHG/TJ</v>
      </c>
      <c r="AY11" s="230">
        <f>IFERROR(IF($AI11&lt;&gt;"",IF($AJ11&lt;3,IF(RIGHT($AI11,4)="연료연소",IFERROR(VLOOKUP($AK11,IF($AJ11=1,EF_Combustion1,EF_Combustion2),16+VLOOKUP(적용업종,업종분류,3,0),0),VLOOKUP(VLOOKUP($AK11,재분류,2,0),IF($AJ11=1,EF_Combustion1,EF_Combustion2),16+VLOOKUP(적용업종,업종분류,3,0),0)),IF(LEFT($AI11,2)="이동",VLOOKUP($AK11,EF_Combustion_mobile,16+VLOOKUP(적용업종,업종분류,3,0),0),VLOOKUP($AK11,EF_Indirect,16+VLOOKUP(적용업종,업종분류,3,0),0))),"Tier3"),""),0)</f>
        <v>0.6</v>
      </c>
      <c r="AZ11" s="230"/>
      <c r="BA11" s="225" t="str">
        <f t="shared" si="8"/>
        <v>㎏GHG/TJ</v>
      </c>
      <c r="BB11" s="190">
        <f t="shared" si="9"/>
        <v>0.99</v>
      </c>
      <c r="BN11" s="62" t="s">
        <v>211</v>
      </c>
      <c r="BO11" s="595"/>
      <c r="BP11" s="91" t="s">
        <v>204</v>
      </c>
      <c r="BQ11" s="91" t="s">
        <v>230</v>
      </c>
      <c r="BR11" s="91" t="s">
        <v>239</v>
      </c>
      <c r="BS11" s="91"/>
      <c r="BT11" s="91"/>
      <c r="BU11" s="91"/>
      <c r="BV11" s="91"/>
      <c r="BW11" s="91"/>
      <c r="BX11" s="91" t="s">
        <v>240</v>
      </c>
      <c r="BY11" s="91">
        <v>11.96</v>
      </c>
      <c r="BZ11" s="91">
        <v>11.6</v>
      </c>
      <c r="CA11" s="91" t="s">
        <v>207</v>
      </c>
      <c r="CB11" s="92">
        <v>100000</v>
      </c>
      <c r="CC11" s="91">
        <v>30</v>
      </c>
      <c r="CD11" s="91">
        <v>30</v>
      </c>
      <c r="CE11" s="91">
        <v>300</v>
      </c>
      <c r="CF11" s="91">
        <v>300</v>
      </c>
      <c r="CG11" s="91">
        <v>4</v>
      </c>
      <c r="CH11" s="91">
        <v>4</v>
      </c>
      <c r="CI11" s="4" t="s">
        <v>241</v>
      </c>
      <c r="CJ11" s="4"/>
      <c r="CK11"/>
      <c r="CL11" s="4" t="s">
        <v>242</v>
      </c>
      <c r="CM11" s="4" t="s">
        <v>243</v>
      </c>
      <c r="CN11"/>
      <c r="CO11"/>
      <c r="CP11" s="93" t="s">
        <v>244</v>
      </c>
      <c r="CQ11" s="94">
        <v>1</v>
      </c>
      <c r="CR11" s="4"/>
      <c r="CS11" s="4"/>
      <c r="CT11" s="4"/>
      <c r="CU11"/>
      <c r="CV11" s="4" t="s">
        <v>245</v>
      </c>
      <c r="CW11" s="4"/>
      <c r="CX11" s="4" t="s">
        <v>214</v>
      </c>
      <c r="CY11" s="4">
        <v>1E-3</v>
      </c>
      <c r="CZ11" s="95" t="s">
        <v>232</v>
      </c>
      <c r="DA11"/>
    </row>
    <row r="12" spans="2:107" ht="15" customHeight="1">
      <c r="B12" s="96"/>
      <c r="C12" s="207"/>
      <c r="D12" s="182" t="str">
        <f t="shared" si="1"/>
        <v>제조업</v>
      </c>
      <c r="E12" s="183">
        <f t="shared" si="14"/>
        <v>0</v>
      </c>
      <c r="F12" s="184">
        <f t="shared" si="15"/>
        <v>0</v>
      </c>
      <c r="G12" s="208"/>
      <c r="H12" s="97">
        <f t="shared" si="16"/>
        <v>0</v>
      </c>
      <c r="I12" s="98">
        <f t="shared" si="0"/>
        <v>0</v>
      </c>
      <c r="J12"/>
      <c r="K12"/>
      <c r="L12" s="211">
        <v>1</v>
      </c>
      <c r="M12" s="173">
        <f t="shared" si="12"/>
        <v>459.41059999999999</v>
      </c>
      <c r="N12" s="173">
        <f t="shared" si="13"/>
        <v>229.70529999999999</v>
      </c>
      <c r="O12" s="619" t="s">
        <v>216</v>
      </c>
      <c r="P12" s="619">
        <v>2</v>
      </c>
      <c r="Q12" s="619" t="s">
        <v>456</v>
      </c>
      <c r="R12" s="628"/>
      <c r="S12" s="629">
        <v>1000</v>
      </c>
      <c r="T12" s="264" t="s">
        <v>213</v>
      </c>
      <c r="U12" s="187" t="str">
        <f t="shared" si="2"/>
        <v>MWh</v>
      </c>
      <c r="V12" s="188">
        <f>IFERROR(IF($O12&lt;&gt;"",IF($P12&lt;3,IF(RIGHT($O12,4)="연료연소",IFERROR(VLOOKUP($Q12,IF($P12=1,EF_Combustion1,EF_Combustion2),10,0),VLOOKUP(VLOOKUP($Q12,재분류,2,0),IF($P12=1,EF_Combustion1,EF_Combustion2),10,0)),IF(LEFT($O12,2)="이동",VLOOKUP($Q12,EF_Combustion_mobile,10,0),VLOOKUP($Q12,EF_Indirect,10,0))),"Tier3"),""),0)</f>
        <v>9.6</v>
      </c>
      <c r="W12" s="226"/>
      <c r="X12" s="227" t="str">
        <f>IFERROR(IF($O12&lt;&gt;"",IF($P12&lt;3,IF(RIGHT($O12,4)="연료연소",IFERROR(VLOOKUP($Q12,IF($P12=1,EF_Combustion1,EF_Combustion2),8,0),VLOOKUP(VLOOKUP($Q12,재분류,2,0),IF($P12=1,EF_Combustion1,EF_Combustion2),8,0)),IF(LEFT($O12,2)="이동",VLOOKUP($Q12,EF_Combustion_mobile,8,0),VLOOKUP($Q12,EF_Indirect,8,0))),"Tier3"),""),0)</f>
        <v>TJ/GWh</v>
      </c>
      <c r="Y12" s="228">
        <f>IFERROR(IF($O12&lt;&gt;"",IF($P12&lt;3,IF(RIGHT($O12,4)="연료연소",IFERROR(VLOOKUP($Q12,IF($P12=1,EF_Combustion1,EF_Combustion2),12,0),VLOOKUP(VLOOKUP($Q12,재분류,2,0),IF($P12=1,EF_Combustion1,EF_Combustion2),12,0)),IF(LEFT($O12,2)="이동",VLOOKUP($Q12,EF_Combustion_mobile,12,0),VLOOKUP($Q12,EF_Indirect,12,0))),"Tier3"),""),0)</f>
        <v>0.45669999999999999</v>
      </c>
      <c r="Z12" s="228"/>
      <c r="AA12" s="229" t="str">
        <f>IFERROR(IF($O12&lt;&gt;"",IF($P12&lt;3,IF(RIGHT($O12,4)="연료연소",IFERROR(VLOOKUP($Q12,IF($P12=1,EF_Combustion1,EF_Combustion2),11,0),VLOOKUP(VLOOKUP($Q12,재분류,2,0),IF($P12=1,EF_Combustion1,EF_Combustion2),11,0)),IF(LEFT($O12,2)="이동",VLOOKUP($Q12,EF_Combustion_mobile,11,0),VLOOKUP($Q12,EF_Indirect,11,0))),"Tier3"),""),0)</f>
        <v>tGHG/MWh</v>
      </c>
      <c r="AB12" s="230">
        <f>IFERROR(IF($O12&lt;&gt;"",IF($P12&lt;3,IF(RIGHT($O12,4)="연료연소",IFERROR(VLOOKUP($Q12,IF($P12=1,EF_Combustion1,EF_Combustion2),12+VLOOKUP(적용업종,업종분류,2,0),0),VLOOKUP(VLOOKUP($Q12,재분류,2,0),IF($P12=1,EF_Combustion1,EF_Combustion2),12+VLOOKUP(적용업종,업종분류,2,0),0)),IF(LEFT($O12,2)="이동",VLOOKUP($Q12,EF_Combustion_mobile,12+VLOOKUP(적용업종,업종분류,2,0),0),VLOOKUP($Q12,EF_Indirect,12+VLOOKUP(적용업종,업종분류,2,0),0))),"Tier3"),""),0)</f>
        <v>3.5999999999999998E-6</v>
      </c>
      <c r="AC12" s="230"/>
      <c r="AD12" s="229" t="str">
        <f t="shared" si="3"/>
        <v>tGHG/MWh</v>
      </c>
      <c r="AE12" s="230">
        <f>IFERROR(IF($O12&lt;&gt;"",IF($P12&lt;3,IF(RIGHT($O12,4)="연료연소",IFERROR(VLOOKUP($Q12,IF($P12=1,EF_Combustion1,EF_Combustion2),16+VLOOKUP(적용업종,업종분류,3,0),0),VLOOKUP(VLOOKUP($Q12,재분류,2,0),IF($P12=1,EF_Combustion1,EF_Combustion2),16+VLOOKUP(적용업종,업종분류,3,0),0)),IF(LEFT($O12,2)="이동",VLOOKUP($Q12,EF_Combustion_mobile,16+VLOOKUP(적용업종,업종분류,3,0),0),VLOOKUP($Q12,EF_Indirect,16+VLOOKUP(적용업종,업종분류,3,0),0))),"Tier3"),""),0)</f>
        <v>8.4999999999999999E-6</v>
      </c>
      <c r="AF12" s="230"/>
      <c r="AG12" s="225" t="str">
        <f t="shared" si="4"/>
        <v>tGHG/MWh</v>
      </c>
      <c r="AH12" s="189">
        <f t="shared" si="5"/>
        <v>0.99</v>
      </c>
      <c r="AI12" s="630" t="s">
        <v>216</v>
      </c>
      <c r="AJ12" s="619">
        <v>2</v>
      </c>
      <c r="AK12" s="619" t="s">
        <v>456</v>
      </c>
      <c r="AL12" s="619"/>
      <c r="AM12" s="629">
        <v>500</v>
      </c>
      <c r="AN12" s="264" t="s">
        <v>213</v>
      </c>
      <c r="AO12" s="187" t="str">
        <f t="shared" si="6"/>
        <v>MWh</v>
      </c>
      <c r="AP12" s="188">
        <f>IFERROR(IF($AI12&lt;&gt;"",IF($AJ12&lt;3,IF(RIGHT($AI12,4)="연료연소",IFERROR(VLOOKUP($AK12,IF($AJ12=1,EF_Combustion1,EF_Combustion2),10,0),VLOOKUP(VLOOKUP($AK12,재분류,2,0),IF($AJ12=1,EF_Combustion1,EF_Combustion2),10,0)),IF(LEFT($AI12,2)="이동",VLOOKUP($AK12,EF_Combustion_mobile,10,0),VLOOKUP($AK12,EF_Indirect,10,0))),"Tier3"),""),0)</f>
        <v>9.6</v>
      </c>
      <c r="AQ12" s="226"/>
      <c r="AR12" s="227" t="str">
        <f>IFERROR(IF($AI12&lt;&gt;"",IF($AJ12&lt;3,IF(RIGHT($AI12,4)="연료연소",IFERROR(VLOOKUP($AK12,IF($AJ12=1,EF_Combustion1,EF_Combustion2),8,0),VLOOKUP(VLOOKUP($AK12,재분류,2,0),IF($AJ12=1,EF_Combustion1,EF_Combustion2),8,0)),IF(LEFT($AI12,2)="이동",VLOOKUP($AK12,EF_Combustion_mobile,8,0),VLOOKUP($AK12,EF_Indirect,8,0))),"Tier3"),""),0)</f>
        <v>TJ/GWh</v>
      </c>
      <c r="AS12" s="228">
        <f>IFERROR(IF($AI12&lt;&gt;"",IF($AJ12&lt;3,IF(RIGHT($AI12,4)="연료연소",IFERROR(VLOOKUP($AK12,IF($AJ12=1,EF_Combustion1,EF_Combustion2),12,0),VLOOKUP(VLOOKUP($AK12,재분류,2,0),IF($AJ12=1,EF_Combustion1,EF_Combustion2),12,0)),IF(LEFT($AI12,2)="이동",VLOOKUP($AK12,EF_Combustion_mobile,12,0),VLOOKUP($AK12,EF_Indirect,12,0))),"Tier3"),""),0)</f>
        <v>0.45669999999999999</v>
      </c>
      <c r="AT12" s="228"/>
      <c r="AU12" s="229" t="str">
        <f>IFERROR(IF($AI12&lt;&gt;"",IF($AJ12&lt;3,IF(RIGHT($AI12,4)="연료연소",IFERROR(VLOOKUP($AK12,IF($AJ12=1,EF_Combustion1,EF_Combustion2),11,0),VLOOKUP(VLOOKUP($AK12,재분류,2,0),IF($AJ12=1,EF_Combustion1,EF_Combustion2),11,0)),IF(LEFT($AI12,2)="이동",VLOOKUP($AK12,EF_Combustion_mobile,11,0),VLOOKUP($AK12,EF_Indirect,11,0))),"Tier3"),""),0)</f>
        <v>tGHG/MWh</v>
      </c>
      <c r="AV12" s="230">
        <f>IFERROR(IF($AI12&lt;&gt;"",IF($AJ12&lt;3,IF(RIGHT($AI12,4)="연료연소",IFERROR(VLOOKUP($AK12,IF($AJ12=1,EF_Combustion1,EF_Combustion2),12+VLOOKUP(적용업종,업종분류,2,0),0),VLOOKUP(VLOOKUP($AK12,재분류,2,0),IF($AJ12=1,EF_Combustion1,EF_Combustion2),12+VLOOKUP(적용업종,업종분류,2,0),0)),IF(LEFT($AI12,2)="이동",VLOOKUP($AK12,EF_Combustion_mobile,12+VLOOKUP(적용업종,업종분류,2,0),0),VLOOKUP($AK12,EF_Indirect,12+VLOOKUP(적용업종,업종분류,2,0),0))),"Tier3"),""),0)</f>
        <v>3.5999999999999998E-6</v>
      </c>
      <c r="AW12" s="230"/>
      <c r="AX12" s="229" t="str">
        <f t="shared" si="7"/>
        <v>tGHG/MWh</v>
      </c>
      <c r="AY12" s="230">
        <f>IFERROR(IF($AI12&lt;&gt;"",IF($AJ12&lt;3,IF(RIGHT($AI12,4)="연료연소",IFERROR(VLOOKUP($AK12,IF($AJ12=1,EF_Combustion1,EF_Combustion2),16+VLOOKUP(적용업종,업종분류,3,0),0),VLOOKUP(VLOOKUP($AK12,재분류,2,0),IF($AJ12=1,EF_Combustion1,EF_Combustion2),16+VLOOKUP(적용업종,업종분류,3,0),0)),IF(LEFT($AI12,2)="이동",VLOOKUP($AK12,EF_Combustion_mobile,16+VLOOKUP(적용업종,업종분류,3,0),0),VLOOKUP($AK12,EF_Indirect,16+VLOOKUP(적용업종,업종분류,3,0),0))),"Tier3"),""),0)</f>
        <v>8.4999999999999999E-6</v>
      </c>
      <c r="AZ12" s="230"/>
      <c r="BA12" s="225" t="str">
        <f t="shared" si="8"/>
        <v>tGHG/MWh</v>
      </c>
      <c r="BB12" s="190">
        <f t="shared" si="9"/>
        <v>0.99</v>
      </c>
      <c r="BN12" s="62" t="s">
        <v>211</v>
      </c>
      <c r="BO12" s="595"/>
      <c r="BP12" s="91" t="s">
        <v>204</v>
      </c>
      <c r="BQ12" s="91" t="s">
        <v>246</v>
      </c>
      <c r="BR12" s="91" t="s">
        <v>247</v>
      </c>
      <c r="BS12" s="91"/>
      <c r="BT12" s="91"/>
      <c r="BU12" s="91"/>
      <c r="BV12" s="91"/>
      <c r="BW12" s="91"/>
      <c r="BX12" s="91" t="s">
        <v>240</v>
      </c>
      <c r="BY12" s="91">
        <v>10.31</v>
      </c>
      <c r="BZ12" s="91">
        <v>10</v>
      </c>
      <c r="CA12" s="91" t="s">
        <v>207</v>
      </c>
      <c r="CB12" s="92">
        <v>91700</v>
      </c>
      <c r="CC12" s="91">
        <v>30</v>
      </c>
      <c r="CD12" s="91">
        <v>30</v>
      </c>
      <c r="CE12" s="91">
        <v>300</v>
      </c>
      <c r="CF12" s="91">
        <v>300</v>
      </c>
      <c r="CG12" s="91">
        <v>4</v>
      </c>
      <c r="CH12" s="91">
        <v>4</v>
      </c>
      <c r="CI12" s="4" t="s">
        <v>248</v>
      </c>
      <c r="CJ12" s="4"/>
      <c r="CK12"/>
      <c r="CL12" s="4" t="s">
        <v>249</v>
      </c>
      <c r="CM12" s="4" t="s">
        <v>230</v>
      </c>
      <c r="CN12"/>
      <c r="CO12"/>
      <c r="CP12" s="93" t="s">
        <v>250</v>
      </c>
      <c r="CQ12" s="94">
        <v>1</v>
      </c>
      <c r="CR12" s="4"/>
      <c r="CS12" s="4"/>
      <c r="CT12" s="4"/>
      <c r="CU12"/>
      <c r="CV12" s="4" t="s">
        <v>251</v>
      </c>
      <c r="CW12" s="4"/>
      <c r="CX12" s="4" t="s">
        <v>214</v>
      </c>
      <c r="CY12" s="4">
        <v>9.9999999999999995E-7</v>
      </c>
      <c r="CZ12" s="95" t="s">
        <v>232</v>
      </c>
      <c r="DA12"/>
    </row>
    <row r="13" spans="2:107" ht="15" customHeight="1">
      <c r="B13" s="96"/>
      <c r="C13" s="207"/>
      <c r="D13" s="182" t="str">
        <f t="shared" si="1"/>
        <v>제조업</v>
      </c>
      <c r="E13" s="183">
        <f t="shared" si="14"/>
        <v>0</v>
      </c>
      <c r="F13" s="184">
        <f t="shared" si="15"/>
        <v>0</v>
      </c>
      <c r="G13" s="208"/>
      <c r="H13" s="97">
        <f t="shared" si="16"/>
        <v>0</v>
      </c>
      <c r="I13" s="98">
        <f t="shared" si="0"/>
        <v>0</v>
      </c>
      <c r="J13"/>
      <c r="K13"/>
      <c r="L13" s="211">
        <v>1</v>
      </c>
      <c r="M13" s="173">
        <f t="shared" si="12"/>
        <v>2830.1759999999999</v>
      </c>
      <c r="N13" s="173">
        <f t="shared" si="13"/>
        <v>1415.088</v>
      </c>
      <c r="O13" s="619" t="s">
        <v>663</v>
      </c>
      <c r="P13" s="619">
        <v>2</v>
      </c>
      <c r="Q13" s="619" t="s">
        <v>381</v>
      </c>
      <c r="R13" s="619"/>
      <c r="S13" s="629">
        <v>1000</v>
      </c>
      <c r="T13" s="264" t="s">
        <v>268</v>
      </c>
      <c r="U13" s="187" t="str">
        <f t="shared" si="2"/>
        <v>10^6Nm3</v>
      </c>
      <c r="V13" s="188">
        <f>IFERROR(IF($O13&lt;&gt;"",IF($P13&lt;3,IF(RIGHT($O13,4)="연료연소",IFERROR(VLOOKUP($Q13,IF($P13=1,EF_Combustion1,EF_Combustion2),10,0),VLOOKUP(VLOOKUP($Q13,재분류,2,0),IF($P13=1,EF_Combustion1,EF_Combustion2),10,0)),IF(LEFT($O13,2)="이동",VLOOKUP($Q13,EF_Combustion_mobile,10,0),VLOOKUP($Q13,EF_Indirect,10,0))),"Tier3"),""),0)</f>
        <v>48</v>
      </c>
      <c r="W13" s="226"/>
      <c r="X13" s="227" t="str">
        <f>IFERROR(IF($O13&lt;&gt;"",IF($P13&lt;3,IF(RIGHT($O13,4)="연료연소",IFERROR(VLOOKUP($Q13,IF($P13=1,EF_Combustion1,EF_Combustion2),8,0),VLOOKUP(VLOOKUP($Q13,재분류,2,0),IF($P13=1,EF_Combustion1,EF_Combustion2),8,0)),IF(LEFT($O13,2)="이동",VLOOKUP($Q13,EF_Combustion_mobile,8,0),VLOOKUP($Q13,EF_Indirect,8,0))),"Tier3"),""),0)</f>
        <v>TJ/10^6Nm3</v>
      </c>
      <c r="Y13" s="228">
        <f>IFERROR(IF($O13&lt;&gt;"",IF($P13&lt;3,IF(RIGHT($O13,4)="연료연소",IFERROR(VLOOKUP($Q13,IF($P13=1,EF_Combustion1,EF_Combustion2),12,0),VLOOKUP(VLOOKUP($Q13,재분류,2,0),IF($P13=1,EF_Combustion1,EF_Combustion2),12,0)),IF(LEFT($O13,2)="이동",VLOOKUP($Q13,EF_Combustion_mobile,12,0),VLOOKUP($Q13,EF_Indirect,12,0))),"Tier3"),""),0)</f>
        <v>56100</v>
      </c>
      <c r="Z13" s="228"/>
      <c r="AA13" s="229" t="str">
        <f>IFERROR(IF($O13&lt;&gt;"",IF($P13&lt;3,IF(RIGHT($O13,4)="연료연소",IFERROR(VLOOKUP($Q13,IF($P13=1,EF_Combustion1,EF_Combustion2),11,0),VLOOKUP(VLOOKUP($Q13,재분류,2,0),IF($P13=1,EF_Combustion1,EF_Combustion2),11,0)),IF(LEFT($O13,2)="이동",VLOOKUP($Q13,EF_Combustion_mobile,11,0),VLOOKUP($Q13,EF_Indirect,11,0))),"Tier3"),""),0)</f>
        <v>kgGHG/TJ</v>
      </c>
      <c r="AB13" s="230">
        <f>IFERROR(IF($O13&lt;&gt;"",IF($P13&lt;3,IF(RIGHT($O13,4)="연료연소",IFERROR(VLOOKUP($Q13,IF($P13=1,EF_Combustion1,EF_Combustion2),12+VLOOKUP(적용업종,업종분류,2,0),0),VLOOKUP(VLOOKUP($Q13,재분류,2,0),IF($P13=1,EF_Combustion1,EF_Combustion2),12+VLOOKUP(적용업종,업종분류,2,0),0)),IF(LEFT($O13,2)="이동",VLOOKUP($Q13,EF_Combustion_mobile,12+VLOOKUP(적용업종,업종분류,2,0),0),VLOOKUP($Q13,EF_Indirect,12+VLOOKUP(적용업종,업종분류,2,0),0))),"Tier3"),""),0)</f>
        <v>92</v>
      </c>
      <c r="AC13" s="230"/>
      <c r="AD13" s="229" t="str">
        <f t="shared" si="3"/>
        <v>kgGHG/TJ</v>
      </c>
      <c r="AE13" s="230">
        <f>IFERROR(IF($O13&lt;&gt;"",IF($P13&lt;3,IF(RIGHT($O13,4)="연료연소",IFERROR(VLOOKUP($Q13,IF($P13=1,EF_Combustion1,EF_Combustion2),16+VLOOKUP(적용업종,업종분류,3,0),0),VLOOKUP(VLOOKUP($Q13,재분류,2,0),IF($P13=1,EF_Combustion1,EF_Combustion2),16+VLOOKUP(적용업종,업종분류,3,0),0)),IF(LEFT($O13,2)="이동",VLOOKUP($Q13,EF_Combustion_mobile,16+VLOOKUP(적용업종,업종분류,3,0),0),VLOOKUP($Q13,EF_Indirect,16+VLOOKUP(적용업종,업종분류,3,0),0))),"Tier3"),""),0)</f>
        <v>3</v>
      </c>
      <c r="AF13" s="230"/>
      <c r="AG13" s="225" t="str">
        <f t="shared" si="4"/>
        <v>kgGHG/TJ</v>
      </c>
      <c r="AH13" s="189">
        <f t="shared" si="5"/>
        <v>1</v>
      </c>
      <c r="AI13" s="630" t="s">
        <v>663</v>
      </c>
      <c r="AJ13" s="619">
        <v>2</v>
      </c>
      <c r="AK13" s="619" t="s">
        <v>381</v>
      </c>
      <c r="AL13" s="619"/>
      <c r="AM13" s="629">
        <v>500</v>
      </c>
      <c r="AN13" s="264" t="s">
        <v>268</v>
      </c>
      <c r="AO13" s="187" t="str">
        <f t="shared" si="6"/>
        <v>10^6Nm3</v>
      </c>
      <c r="AP13" s="188">
        <f>IFERROR(IF($AI13&lt;&gt;"",IF($AJ13&lt;3,IF(RIGHT($AI13,4)="연료연소",IFERROR(VLOOKUP($AK13,IF($AJ13=1,EF_Combustion1,EF_Combustion2),10,0),VLOOKUP(VLOOKUP($AK13,재분류,2,0),IF($AJ13=1,EF_Combustion1,EF_Combustion2),10,0)),IF(LEFT($AI13,2)="이동",VLOOKUP($AK13,EF_Combustion_mobile,10,0),VLOOKUP($AK13,EF_Indirect,10,0))),"Tier3"),""),0)</f>
        <v>48</v>
      </c>
      <c r="AQ13" s="226"/>
      <c r="AR13" s="227" t="str">
        <f>IFERROR(IF($AI13&lt;&gt;"",IF($AJ13&lt;3,IF(RIGHT($AI13,4)="연료연소",IFERROR(VLOOKUP($AK13,IF($AJ13=1,EF_Combustion1,EF_Combustion2),8,0),VLOOKUP(VLOOKUP($AK13,재분류,2,0),IF($AJ13=1,EF_Combustion1,EF_Combustion2),8,0)),IF(LEFT($AI13,2)="이동",VLOOKUP($AK13,EF_Combustion_mobile,8,0),VLOOKUP($AK13,EF_Indirect,8,0))),"Tier3"),""),0)</f>
        <v>TJ/10^6Nm3</v>
      </c>
      <c r="AS13" s="228">
        <f>IFERROR(IF($AI13&lt;&gt;"",IF($AJ13&lt;3,IF(RIGHT($AI13,4)="연료연소",IFERROR(VLOOKUP($AK13,IF($AJ13=1,EF_Combustion1,EF_Combustion2),12,0),VLOOKUP(VLOOKUP($AK13,재분류,2,0),IF($AJ13=1,EF_Combustion1,EF_Combustion2),12,0)),IF(LEFT($AI13,2)="이동",VLOOKUP($AK13,EF_Combustion_mobile,12,0),VLOOKUP($AK13,EF_Indirect,12,0))),"Tier3"),""),0)</f>
        <v>56100</v>
      </c>
      <c r="AT13" s="228"/>
      <c r="AU13" s="229" t="str">
        <f>IFERROR(IF($AI13&lt;&gt;"",IF($AJ13&lt;3,IF(RIGHT($AI13,4)="연료연소",IFERROR(VLOOKUP($AK13,IF($AJ13=1,EF_Combustion1,EF_Combustion2),11,0),VLOOKUP(VLOOKUP($AK13,재분류,2,0),IF($AJ13=1,EF_Combustion1,EF_Combustion2),11,0)),IF(LEFT($AI13,2)="이동",VLOOKUP($AK13,EF_Combustion_mobile,11,0),VLOOKUP($AK13,EF_Indirect,11,0))),"Tier3"),""),0)</f>
        <v>kgGHG/TJ</v>
      </c>
      <c r="AV13" s="230">
        <f>IFERROR(IF($AI13&lt;&gt;"",IF($AJ13&lt;3,IF(RIGHT($AI13,4)="연료연소",IFERROR(VLOOKUP($AK13,IF($AJ13=1,EF_Combustion1,EF_Combustion2),12+VLOOKUP(적용업종,업종분류,2,0),0),VLOOKUP(VLOOKUP($AK13,재분류,2,0),IF($AJ13=1,EF_Combustion1,EF_Combustion2),12+VLOOKUP(적용업종,업종분류,2,0),0)),IF(LEFT($AI13,2)="이동",VLOOKUP($AK13,EF_Combustion_mobile,12+VLOOKUP(적용업종,업종분류,2,0),0),VLOOKUP($AK13,EF_Indirect,12+VLOOKUP(적용업종,업종분류,2,0),0))),"Tier3"),""),0)</f>
        <v>92</v>
      </c>
      <c r="AW13" s="230"/>
      <c r="AX13" s="229" t="str">
        <f t="shared" si="7"/>
        <v>kgGHG/TJ</v>
      </c>
      <c r="AY13" s="230">
        <f>IFERROR(IF($AI13&lt;&gt;"",IF($AJ13&lt;3,IF(RIGHT($AI13,4)="연료연소",IFERROR(VLOOKUP($AK13,IF($AJ13=1,EF_Combustion1,EF_Combustion2),16+VLOOKUP(적용업종,업종분류,3,0),0),VLOOKUP(VLOOKUP($AK13,재분류,2,0),IF($AJ13=1,EF_Combustion1,EF_Combustion2),16+VLOOKUP(적용업종,업종분류,3,0),0)),IF(LEFT($AI13,2)="이동",VLOOKUP($AK13,EF_Combustion_mobile,16+VLOOKUP(적용업종,업종분류,3,0),0),VLOOKUP($AK13,EF_Indirect,16+VLOOKUP(적용업종,업종분류,3,0),0))),"Tier3"),""),0)</f>
        <v>3</v>
      </c>
      <c r="AZ13" s="230"/>
      <c r="BA13" s="225" t="str">
        <f t="shared" si="8"/>
        <v>kgGHG/TJ</v>
      </c>
      <c r="BB13" s="190">
        <f t="shared" si="9"/>
        <v>1</v>
      </c>
      <c r="BN13" s="62" t="s">
        <v>211</v>
      </c>
      <c r="BO13" s="595"/>
      <c r="BP13" s="91" t="s">
        <v>204</v>
      </c>
      <c r="BQ13" s="91" t="s">
        <v>221</v>
      </c>
      <c r="BR13" s="91" t="s">
        <v>247</v>
      </c>
      <c r="BS13" s="91"/>
      <c r="BT13" s="91"/>
      <c r="BU13" s="91"/>
      <c r="BV13" s="91"/>
      <c r="BW13" s="91"/>
      <c r="BX13" s="91" t="s">
        <v>240</v>
      </c>
      <c r="BY13" s="91">
        <v>10.31</v>
      </c>
      <c r="BZ13" s="91">
        <v>10</v>
      </c>
      <c r="CA13" s="91" t="s">
        <v>207</v>
      </c>
      <c r="CB13" s="92">
        <v>91700</v>
      </c>
      <c r="CC13" s="91">
        <v>30</v>
      </c>
      <c r="CD13" s="91">
        <v>30</v>
      </c>
      <c r="CE13" s="91">
        <v>300</v>
      </c>
      <c r="CF13" s="91">
        <v>300</v>
      </c>
      <c r="CG13" s="91">
        <v>4</v>
      </c>
      <c r="CH13" s="91">
        <v>4</v>
      </c>
      <c r="CI13" s="4" t="s">
        <v>248</v>
      </c>
      <c r="CJ13" s="4"/>
      <c r="CK13"/>
      <c r="CL13" s="4" t="s">
        <v>252</v>
      </c>
      <c r="CM13" s="4" t="s">
        <v>230</v>
      </c>
      <c r="CN13"/>
      <c r="CO13"/>
      <c r="CP13"/>
      <c r="CQ13"/>
      <c r="CR13"/>
      <c r="CS13"/>
      <c r="CT13"/>
      <c r="CU13"/>
      <c r="CV13" s="4" t="s">
        <v>238</v>
      </c>
      <c r="CW13" s="4" t="s">
        <v>222</v>
      </c>
      <c r="CX13" s="4" t="s">
        <v>253</v>
      </c>
      <c r="CY13" s="4">
        <v>1</v>
      </c>
      <c r="CZ13" s="95" t="s">
        <v>238</v>
      </c>
      <c r="DA13"/>
    </row>
    <row r="14" spans="2:107" ht="15" customHeight="1">
      <c r="J14"/>
      <c r="K14"/>
      <c r="L14" s="211">
        <v>1</v>
      </c>
      <c r="M14" s="173">
        <f t="shared" si="12"/>
        <v>59684.872000000003</v>
      </c>
      <c r="N14" s="173">
        <f t="shared" si="13"/>
        <v>29842.436000000002</v>
      </c>
      <c r="O14" s="619" t="s">
        <v>216</v>
      </c>
      <c r="P14" s="619">
        <v>2</v>
      </c>
      <c r="Q14" s="619" t="s">
        <v>457</v>
      </c>
      <c r="R14" s="619"/>
      <c r="S14" s="629">
        <v>1000</v>
      </c>
      <c r="T14" s="264" t="s">
        <v>231</v>
      </c>
      <c r="U14" s="187" t="e">
        <f t="shared" si="2"/>
        <v>#VALUE!</v>
      </c>
      <c r="V14" s="188">
        <f>IFERROR(IF($O14&lt;&gt;"",IF($P14&lt;3,IF(RIGHT($O14,4)="연료연소",IFERROR(VLOOKUP($Q14,IF($P14=1,EF_Combustion1,EF_Combustion2),10,0),VLOOKUP(VLOOKUP($Q14,재분류,2,0),IF($P14=1,EF_Combustion1,EF_Combustion2),10,0)),IF(LEFT($O14,2)="이동",VLOOKUP($Q14,EF_Combustion_mobile,10,0),VLOOKUP($Q14,EF_Indirect,10,0))),"Tier3"),""),0)</f>
        <v>0</v>
      </c>
      <c r="W14" s="226"/>
      <c r="X14" s="227">
        <f>IFERROR(IF($O14&lt;&gt;"",IF($P14&lt;3,IF(RIGHT($O14,4)="연료연소",IFERROR(VLOOKUP($Q14,IF($P14=1,EF_Combustion1,EF_Combustion2),8,0),VLOOKUP(VLOOKUP($Q14,재분류,2,0),IF($P14=1,EF_Combustion1,EF_Combustion2),8,0)),IF(LEFT($O14,2)="이동",VLOOKUP($Q14,EF_Combustion_mobile,8,0),VLOOKUP($Q14,EF_Indirect,8,0))),"Tier3"),""),0)</f>
        <v>0</v>
      </c>
      <c r="Y14" s="228">
        <f>IFERROR(IF($O14&lt;&gt;"",IF($P14&lt;3,IF(RIGHT($O14,4)="연료연소",IFERROR(VLOOKUP($Q14,IF($P14=1,EF_Combustion1,EF_Combustion2),12,0),VLOOKUP(VLOOKUP($Q14,재분류,2,0),IF($P14=1,EF_Combustion1,EF_Combustion2),12,0)),IF(LEFT($O14,2)="이동",VLOOKUP($Q14,EF_Combustion_mobile,12,0),VLOOKUP($Q14,EF_Indirect,12,0))),"Tier3"),""),0)</f>
        <v>59510</v>
      </c>
      <c r="Z14" s="228"/>
      <c r="AA14" s="229" t="str">
        <f>IFERROR(IF($O14&lt;&gt;"",IF($P14&lt;3,IF(RIGHT($O14,4)="연료연소",IFERROR(VLOOKUP($Q14,IF($P14=1,EF_Combustion1,EF_Combustion2),11,0),VLOOKUP(VLOOKUP($Q14,재분류,2,0),IF($P14=1,EF_Combustion1,EF_Combustion2),11,0)),IF(LEFT($O14,2)="이동",VLOOKUP($Q14,EF_Combustion_mobile,11,0),VLOOKUP($Q14,EF_Indirect,11,0))),"Tier3"),""),0)</f>
        <v>kgGHG/TJ</v>
      </c>
      <c r="AB14" s="230">
        <f>IFERROR(IF($O14&lt;&gt;"",IF($P14&lt;3,IF(RIGHT($O14,4)="연료연소",IFERROR(VLOOKUP($Q14,IF($P14=1,EF_Combustion1,EF_Combustion2),12+VLOOKUP(적용업종,업종분류,2,0),0),VLOOKUP(VLOOKUP($Q14,재분류,2,0),IF($P14=1,EF_Combustion1,EF_Combustion2),12+VLOOKUP(적용업종,업종분류,2,0),0)),IF(LEFT($O14,2)="이동",VLOOKUP($Q14,EF_Combustion_mobile,12+VLOOKUP(적용업종,업종분류,2,0),0),VLOOKUP($Q14,EF_Indirect,12+VLOOKUP(적용업종,업종분류,2,0),0))),"Tier3"),""),0)</f>
        <v>1.8320000000000001</v>
      </c>
      <c r="AC14" s="230"/>
      <c r="AD14" s="229" t="str">
        <f t="shared" si="3"/>
        <v>kgGHG/TJ</v>
      </c>
      <c r="AE14" s="230">
        <f>IFERROR(IF($O14&lt;&gt;"",IF($P14&lt;3,IF(RIGHT($O14,4)="연료연소",IFERROR(VLOOKUP($Q14,IF($P14=1,EF_Combustion1,EF_Combustion2),16+VLOOKUP(적용업종,업종분류,3,0),0),VLOOKUP(VLOOKUP($Q14,재분류,2,0),IF($P14=1,EF_Combustion1,EF_Combustion2),16+VLOOKUP(적용업종,업종분류,3,0),0)),IF(LEFT($O14,2)="이동",VLOOKUP($Q14,EF_Combustion_mobile,16+VLOOKUP(적용업종,업종분류,3,0),0),VLOOKUP($Q14,EF_Indirect,16+VLOOKUP(적용업종,업종분류,3,0),0))),"Tier3"),""),0)</f>
        <v>0.44</v>
      </c>
      <c r="AF14" s="230"/>
      <c r="AG14" s="225" t="str">
        <f t="shared" si="4"/>
        <v>kgGHG/TJ</v>
      </c>
      <c r="AH14" s="189">
        <f t="shared" si="5"/>
        <v>0.99</v>
      </c>
      <c r="AI14" s="630" t="s">
        <v>743</v>
      </c>
      <c r="AJ14" s="619">
        <v>2</v>
      </c>
      <c r="AK14" s="619" t="s">
        <v>744</v>
      </c>
      <c r="AL14" s="619"/>
      <c r="AM14" s="629">
        <v>500</v>
      </c>
      <c r="AN14" s="264" t="s">
        <v>742</v>
      </c>
      <c r="AO14" s="187" t="e">
        <f t="shared" si="6"/>
        <v>#VALUE!</v>
      </c>
      <c r="AP14" s="188">
        <f>IFERROR(IF($AI14&lt;&gt;"",IF($AJ14&lt;3,IF(RIGHT($AI14,4)="연료연소",IFERROR(VLOOKUP($AK14,IF($AJ14=1,EF_Combustion1,EF_Combustion2),10,0),VLOOKUP(VLOOKUP($AK14,재분류,2,0),IF($AJ14=1,EF_Combustion1,EF_Combustion2),10,0)),IF(LEFT($AI14,2)="이동",VLOOKUP($AK14,EF_Combustion_mobile,10,0),VLOOKUP($AK14,EF_Indirect,10,0))),"Tier3"),""),0)</f>
        <v>0</v>
      </c>
      <c r="AQ14" s="226"/>
      <c r="AR14" s="227">
        <f>IFERROR(IF($AI14&lt;&gt;"",IF($AJ14&lt;3,IF(RIGHT($AI14,4)="연료연소",IFERROR(VLOOKUP($AK14,IF($AJ14=1,EF_Combustion1,EF_Combustion2),8,0),VLOOKUP(VLOOKUP($AK14,재분류,2,0),IF($AJ14=1,EF_Combustion1,EF_Combustion2),8,0)),IF(LEFT($AI14,2)="이동",VLOOKUP($AK14,EF_Combustion_mobile,8,0),VLOOKUP($AK14,EF_Indirect,8,0))),"Tier3"),""),0)</f>
        <v>0</v>
      </c>
      <c r="AS14" s="228">
        <f>IFERROR(IF($AI14&lt;&gt;"",IF($AJ14&lt;3,IF(RIGHT($AI14,4)="연료연소",IFERROR(VLOOKUP($AK14,IF($AJ14=1,EF_Combustion1,EF_Combustion2),12,0),VLOOKUP(VLOOKUP($AK14,재분류,2,0),IF($AJ14=1,EF_Combustion1,EF_Combustion2),12,0)),IF(LEFT($AI14,2)="이동",VLOOKUP($AK14,EF_Combustion_mobile,12,0),VLOOKUP($AK14,EF_Indirect,12,0))),"Tier3"),""),0)</f>
        <v>59510</v>
      </c>
      <c r="AT14" s="228"/>
      <c r="AU14" s="229" t="str">
        <f>IFERROR(IF($AI14&lt;&gt;"",IF($AJ14&lt;3,IF(RIGHT($AI14,4)="연료연소",IFERROR(VLOOKUP($AK14,IF($AJ14=1,EF_Combustion1,EF_Combustion2),11,0),VLOOKUP(VLOOKUP($AK14,재분류,2,0),IF($AJ14=1,EF_Combustion1,EF_Combustion2),11,0)),IF(LEFT($AI14,2)="이동",VLOOKUP($AK14,EF_Combustion_mobile,11,0),VLOOKUP($AK14,EF_Indirect,11,0))),"Tier3"),""),0)</f>
        <v>kgGHG/TJ</v>
      </c>
      <c r="AV14" s="230">
        <f>IFERROR(IF($AI14&lt;&gt;"",IF($AJ14&lt;3,IF(RIGHT($AI14,4)="연료연소",IFERROR(VLOOKUP($AK14,IF($AJ14=1,EF_Combustion1,EF_Combustion2),12+VLOOKUP(적용업종,업종분류,2,0),0),VLOOKUP(VLOOKUP($AK14,재분류,2,0),IF($AJ14=1,EF_Combustion1,EF_Combustion2),12+VLOOKUP(적용업종,업종분류,2,0),0)),IF(LEFT($AI14,2)="이동",VLOOKUP($AK14,EF_Combustion_mobile,12+VLOOKUP(적용업종,업종분류,2,0),0),VLOOKUP($AK14,EF_Indirect,12+VLOOKUP(적용업종,업종분류,2,0),0))),"Tier3"),""),0)</f>
        <v>1.8320000000000001</v>
      </c>
      <c r="AW14" s="230"/>
      <c r="AX14" s="229" t="str">
        <f t="shared" si="7"/>
        <v>kgGHG/TJ</v>
      </c>
      <c r="AY14" s="230">
        <f>IFERROR(IF($AI14&lt;&gt;"",IF($AJ14&lt;3,IF(RIGHT($AI14,4)="연료연소",IFERROR(VLOOKUP($AK14,IF($AJ14=1,EF_Combustion1,EF_Combustion2),16+VLOOKUP(적용업종,업종분류,3,0),0),VLOOKUP(VLOOKUP($AK14,재분류,2,0),IF($AJ14=1,EF_Combustion1,EF_Combustion2),16+VLOOKUP(적용업종,업종분류,3,0),0)),IF(LEFT($AI14,2)="이동",VLOOKUP($AK14,EF_Combustion_mobile,16+VLOOKUP(적용업종,업종분류,3,0),0),VLOOKUP($AK14,EF_Indirect,16+VLOOKUP(적용업종,업종분류,3,0),0))),"Tier3"),""),0)</f>
        <v>0.44</v>
      </c>
      <c r="AZ14" s="230"/>
      <c r="BA14" s="225" t="str">
        <f t="shared" si="8"/>
        <v>kgGHG/TJ</v>
      </c>
      <c r="BB14" s="190">
        <f t="shared" si="9"/>
        <v>0.99</v>
      </c>
      <c r="BN14" s="62" t="s">
        <v>202</v>
      </c>
      <c r="BO14" s="595"/>
      <c r="BP14" s="91" t="s">
        <v>204</v>
      </c>
      <c r="BQ14" s="91" t="s">
        <v>254</v>
      </c>
      <c r="BR14" s="91" t="s">
        <v>254</v>
      </c>
      <c r="BS14" s="91"/>
      <c r="BT14" s="91"/>
      <c r="BU14" s="91"/>
      <c r="BV14" s="91"/>
      <c r="BW14" s="91"/>
      <c r="BX14" s="91" t="s">
        <v>206</v>
      </c>
      <c r="BY14" s="91">
        <v>37.700000000000003</v>
      </c>
      <c r="BZ14" s="91">
        <v>43</v>
      </c>
      <c r="CA14" s="91" t="s">
        <v>207</v>
      </c>
      <c r="CB14" s="92">
        <v>74100</v>
      </c>
      <c r="CC14" s="91">
        <v>3</v>
      </c>
      <c r="CD14" s="91">
        <v>3</v>
      </c>
      <c r="CE14" s="91">
        <v>10</v>
      </c>
      <c r="CF14" s="91">
        <v>10</v>
      </c>
      <c r="CG14" s="91">
        <v>0.6</v>
      </c>
      <c r="CH14" s="91">
        <v>0.6</v>
      </c>
      <c r="CI14" s="4" t="s">
        <v>255</v>
      </c>
      <c r="CJ14" s="4" t="s">
        <v>256</v>
      </c>
      <c r="CK14"/>
      <c r="CL14"/>
      <c r="CM14"/>
      <c r="CN14"/>
      <c r="CO14" s="20"/>
      <c r="CP14" s="20" t="s">
        <v>257</v>
      </c>
      <c r="CQ14"/>
      <c r="CR14"/>
      <c r="CS14"/>
      <c r="CT14"/>
      <c r="CU14"/>
      <c r="CV14" s="4" t="s">
        <v>258</v>
      </c>
      <c r="CW14" s="4" t="s">
        <v>222</v>
      </c>
      <c r="CX14" s="4" t="s">
        <v>253</v>
      </c>
      <c r="CY14" s="4">
        <v>1E-3</v>
      </c>
      <c r="CZ14" s="95" t="s">
        <v>238</v>
      </c>
      <c r="DA14"/>
      <c r="DB14" s="11" t="s">
        <v>653</v>
      </c>
    </row>
    <row r="15" spans="2:107" ht="15" customHeight="1">
      <c r="J15"/>
      <c r="K15"/>
      <c r="L15" s="211">
        <v>1</v>
      </c>
      <c r="M15" s="173">
        <f t="shared" ref="M15:M35" si="17">IF($Q15&lt;&gt;"",IF($P15&lt;3,IF(LEFT($O15,2)&lt;&gt;"간접",$S15*$V15*VLOOKUP($T15,단위환산,4,0)*($Y15*$AH15+$AB15*21+$AE15*310)/(10^6),$S15*VLOOKUP($T15,단위환산,4,0)*($Y15+$AB15*21+$AE15*310)),IF(LEFT($O15,2)&lt;&gt;"간접",$S15*$W15*VLOOKUP($T15,단위환산,4,0)*($Z15*$AH15+$AC15*21+$AF15*310)/(10^6),$S15*VLOOKUP($T15,단위환산,4,0)*($Z15+$AC15*21+$AF15*310))),0)</f>
        <v>0</v>
      </c>
      <c r="N15" s="173">
        <f t="shared" ref="N15:N35" si="18">IF($AK15&lt;&gt;"",IF($AJ15&lt;3,IF(LEFT($AI15,2)&lt;&gt;"간접",$AM15*$AP15*VLOOKUP($AN15,단위환산,4,0)*($AS15*$BB15+$AV15*21+$AY15*310)/(10^6),$AM15*VLOOKUP($AN15,단위환산,4,0)*($AS15+$AV15*21+$AY15*310)),IF(LEFT($AI15,2)&lt;&gt;"간접",$AM15*$AQ15*VLOOKUP($AN15,단위환산,4,0)*($AT15*$BB15+$AW15*21+$AZ15*310)/(10^6),$AM15*VLOOKUP($AN15,단위환산,4,0)*($AT15+$AW15*21+$AZ15*310))),0)</f>
        <v>0</v>
      </c>
      <c r="O15" s="207"/>
      <c r="P15" s="207"/>
      <c r="Q15" s="207"/>
      <c r="R15" s="207"/>
      <c r="S15" s="209"/>
      <c r="T15" s="264"/>
      <c r="U15" s="187" t="str">
        <f t="shared" si="2"/>
        <v/>
      </c>
      <c r="V15" s="188" t="str">
        <f>IFERROR(IF($O15&lt;&gt;"",IF($P15&lt;3,IF(RIGHT($O15,4)="연료연소",IFERROR(VLOOKUP($Q15,IF($P15=1,EF_Combustion1,EF_Combustion2),10,0),VLOOKUP(VLOOKUP($Q15,재분류,2,0),IF($P15=1,EF_Combustion1,EF_Combustion2),10,0)),IF(LEFT($O15,2)="이동",VLOOKUP($Q15,EF_Combustion_mobile,10,0),VLOOKUP($Q15,EF_Indirect,10,0))),"Tier3"),""),0)</f>
        <v/>
      </c>
      <c r="W15" s="226"/>
      <c r="X15" s="227" t="str">
        <f>IFERROR(IF($O15&lt;&gt;"",IF($P15&lt;3,IF(RIGHT($O15,4)="연료연소",IFERROR(VLOOKUP($Q15,IF($P15=1,EF_Combustion1,EF_Combustion2),8,0),VLOOKUP(VLOOKUP($Q15,재분류,2,0),IF($P15=1,EF_Combustion1,EF_Combustion2),8,0)),IF(LEFT($O15,2)="이동",VLOOKUP($Q15,EF_Combustion_mobile,8,0),VLOOKUP($Q15,EF_Indirect,8,0))),"Tier3"),""),0)</f>
        <v/>
      </c>
      <c r="Y15" s="228" t="str">
        <f>IFERROR(IF($O15&lt;&gt;"",IF($P15&lt;3,IF(RIGHT($O15,4)="연료연소",IFERROR(VLOOKUP($Q15,IF($P15=1,EF_Combustion1,EF_Combustion2),12,0),VLOOKUP(VLOOKUP($Q15,재분류,2,0),IF($P15=1,EF_Combustion1,EF_Combustion2),12,0)),IF(LEFT($O15,2)="이동",VLOOKUP($Q15,EF_Combustion_mobile,12,0),VLOOKUP($Q15,EF_Indirect,12,0))),"Tier3"),""),0)</f>
        <v/>
      </c>
      <c r="Z15" s="228"/>
      <c r="AA15" s="229" t="str">
        <f>IFERROR(IF($O15&lt;&gt;"",IF($P15&lt;3,IF(RIGHT($O15,4)="연료연소",IFERROR(VLOOKUP($Q15,IF($P15=1,EF_Combustion1,EF_Combustion2),11,0),VLOOKUP(VLOOKUP($Q15,재분류,2,0),IF($P15=1,EF_Combustion1,EF_Combustion2),11,0)),IF(LEFT($O15,2)="이동",VLOOKUP($Q15,EF_Combustion_mobile,11,0),VLOOKUP($Q15,EF_Indirect,11,0))),"Tier3"),""),0)</f>
        <v/>
      </c>
      <c r="AB15" s="230" t="str">
        <f>IFERROR(IF($O15&lt;&gt;"",IF($P15&lt;3,IF(RIGHT($O15,4)="연료연소",IFERROR(VLOOKUP($Q15,IF($P15=1,EF_Combustion1,EF_Combustion2),12+VLOOKUP(적용업종,업종분류,2,0),0),VLOOKUP(VLOOKUP($Q15,재분류,2,0),IF($P15=1,EF_Combustion1,EF_Combustion2),12+VLOOKUP(적용업종,업종분류,2,0),0)),IF(LEFT($O15,2)="이동",VLOOKUP($Q15,EF_Combustion_mobile,12+VLOOKUP(적용업종,업종분류,2,0),0),VLOOKUP($Q15,EF_Indirect,12+VLOOKUP(적용업종,업종분류,2,0),0))),"Tier3"),""),0)</f>
        <v/>
      </c>
      <c r="AC15" s="230"/>
      <c r="AD15" s="229" t="str">
        <f t="shared" si="3"/>
        <v/>
      </c>
      <c r="AE15" s="230" t="str">
        <f>IFERROR(IF($O15&lt;&gt;"",IF($P15&lt;3,IF(RIGHT($O15,4)="연료연소",IFERROR(VLOOKUP($Q15,IF($P15=1,EF_Combustion1,EF_Combustion2),16+VLOOKUP(적용업종,업종분류,3,0),0),VLOOKUP(VLOOKUP($Q15,재분류,2,0),IF($P15=1,EF_Combustion1,EF_Combustion2),16+VLOOKUP(적용업종,업종분류,3,0),0)),IF(LEFT($O15,2)="이동",VLOOKUP($Q15,EF_Combustion_mobile,16+VLOOKUP(적용업종,업종분류,3,0),0),VLOOKUP($Q15,EF_Indirect,16+VLOOKUP(적용업종,업종분류,3,0),0))),"Tier3"),""),0)</f>
        <v/>
      </c>
      <c r="AF15" s="230"/>
      <c r="AG15" s="225" t="str">
        <f t="shared" si="4"/>
        <v/>
      </c>
      <c r="AH15" s="189" t="str">
        <f t="shared" si="5"/>
        <v/>
      </c>
      <c r="AI15" s="210"/>
      <c r="AJ15" s="207"/>
      <c r="AK15" s="207"/>
      <c r="AL15" s="207"/>
      <c r="AM15" s="209"/>
      <c r="AN15" s="264"/>
      <c r="AO15" s="187" t="str">
        <f t="shared" si="6"/>
        <v/>
      </c>
      <c r="AP15" s="188" t="str">
        <f>IFERROR(IF($AI15&lt;&gt;"",IF($AJ15&lt;3,IF(RIGHT($AI15,4)="연료연소",IFERROR(VLOOKUP($AK15,IF($AJ15=1,EF_Combustion1,EF_Combustion2),10,0),VLOOKUP(VLOOKUP($AK15,재분류,2,0),IF($AJ15=1,EF_Combustion1,EF_Combustion2),10,0)),IF(LEFT($AI15,2)="이동",VLOOKUP($AK15,EF_Combustion_mobile,10,0),VLOOKUP($AK15,EF_Indirect,10,0))),"Tier3"),""),0)</f>
        <v/>
      </c>
      <c r="AQ15" s="226"/>
      <c r="AR15" s="227" t="str">
        <f>IFERROR(IF($AI15&lt;&gt;"",IF($AJ15&lt;3,IF(RIGHT($AI15,4)="연료연소",IFERROR(VLOOKUP($AK15,IF($AJ15=1,EF_Combustion1,EF_Combustion2),8,0),VLOOKUP(VLOOKUP($AK15,재분류,2,0),IF($AJ15=1,EF_Combustion1,EF_Combustion2),8,0)),IF(LEFT($AI15,2)="이동",VLOOKUP($AK15,EF_Combustion_mobile,8,0),VLOOKUP($AK15,EF_Indirect,8,0))),"Tier3"),""),0)</f>
        <v/>
      </c>
      <c r="AS15" s="228" t="str">
        <f>IFERROR(IF($AI15&lt;&gt;"",IF($AJ15&lt;3,IF(RIGHT($AI15,4)="연료연소",IFERROR(VLOOKUP($AK15,IF($AJ15=1,EF_Combustion1,EF_Combustion2),12,0),VLOOKUP(VLOOKUP($AK15,재분류,2,0),IF($AJ15=1,EF_Combustion1,EF_Combustion2),12,0)),IF(LEFT($AI15,2)="이동",VLOOKUP($AK15,EF_Combustion_mobile,12,0),VLOOKUP($AK15,EF_Indirect,12,0))),"Tier3"),""),0)</f>
        <v/>
      </c>
      <c r="AT15" s="228"/>
      <c r="AU15" s="229" t="str">
        <f>IFERROR(IF($AI15&lt;&gt;"",IF($AJ15&lt;3,IF(RIGHT($AI15,4)="연료연소",IFERROR(VLOOKUP($AK15,IF($AJ15=1,EF_Combustion1,EF_Combustion2),11,0),VLOOKUP(VLOOKUP($AK15,재분류,2,0),IF($AJ15=1,EF_Combustion1,EF_Combustion2),11,0)),IF(LEFT($AI15,2)="이동",VLOOKUP($AK15,EF_Combustion_mobile,11,0),VLOOKUP($AK15,EF_Indirect,11,0))),"Tier3"),""),0)</f>
        <v/>
      </c>
      <c r="AV15" s="230" t="str">
        <f>IFERROR(IF($AI15&lt;&gt;"",IF($AJ15&lt;3,IF(RIGHT($AI15,4)="연료연소",IFERROR(VLOOKUP($AK15,IF($AJ15=1,EF_Combustion1,EF_Combustion2),12+VLOOKUP(적용업종,업종분류,2,0),0),VLOOKUP(VLOOKUP($AK15,재분류,2,0),IF($AJ15=1,EF_Combustion1,EF_Combustion2),12+VLOOKUP(적용업종,업종분류,2,0),0)),IF(LEFT($AI15,2)="이동",VLOOKUP($AK15,EF_Combustion_mobile,12+VLOOKUP(적용업종,업종분류,2,0),0),VLOOKUP($AK15,EF_Indirect,12+VLOOKUP(적용업종,업종분류,2,0),0))),"Tier3"),""),0)</f>
        <v/>
      </c>
      <c r="AW15" s="230"/>
      <c r="AX15" s="229" t="str">
        <f t="shared" si="7"/>
        <v/>
      </c>
      <c r="AY15" s="230" t="str">
        <f>IFERROR(IF($AI15&lt;&gt;"",IF($AJ15&lt;3,IF(RIGHT($AI15,4)="연료연소",IFERROR(VLOOKUP($AK15,IF($AJ15=1,EF_Combustion1,EF_Combustion2),16+VLOOKUP(적용업종,업종분류,3,0),0),VLOOKUP(VLOOKUP($AK15,재분류,2,0),IF($AJ15=1,EF_Combustion1,EF_Combustion2),16+VLOOKUP(적용업종,업종분류,3,0),0)),IF(LEFT($AI15,2)="이동",VLOOKUP($AK15,EF_Combustion_mobile,16+VLOOKUP(적용업종,업종분류,3,0),0),VLOOKUP($AK15,EF_Indirect,16+VLOOKUP(적용업종,업종분류,3,0),0))),"Tier3"),""),0)</f>
        <v/>
      </c>
      <c r="AZ15" s="230"/>
      <c r="BA15" s="225" t="str">
        <f t="shared" si="8"/>
        <v/>
      </c>
      <c r="BB15" s="190" t="str">
        <f t="shared" si="9"/>
        <v/>
      </c>
      <c r="BN15" s="62" t="s">
        <v>211</v>
      </c>
      <c r="BO15" s="595"/>
      <c r="BP15" s="91" t="s">
        <v>204</v>
      </c>
      <c r="BQ15" s="91" t="s">
        <v>259</v>
      </c>
      <c r="BR15" s="91" t="s">
        <v>259</v>
      </c>
      <c r="BS15" s="91"/>
      <c r="BT15" s="91"/>
      <c r="BU15" s="91"/>
      <c r="BV15" s="91"/>
      <c r="BW15" s="91"/>
      <c r="BX15" s="91" t="s">
        <v>240</v>
      </c>
      <c r="BY15" s="91">
        <v>12.3</v>
      </c>
      <c r="BZ15" s="91">
        <v>11.9</v>
      </c>
      <c r="CA15" s="91" t="s">
        <v>207</v>
      </c>
      <c r="CB15" s="92">
        <v>101000</v>
      </c>
      <c r="CC15" s="91">
        <v>1</v>
      </c>
      <c r="CD15" s="91">
        <v>10</v>
      </c>
      <c r="CE15" s="91">
        <v>10</v>
      </c>
      <c r="CF15" s="91">
        <v>300</v>
      </c>
      <c r="CG15" s="91">
        <v>1.5</v>
      </c>
      <c r="CH15" s="91">
        <v>1.5</v>
      </c>
      <c r="CI15" s="4" t="s">
        <v>260</v>
      </c>
      <c r="CJ15" s="4" t="s">
        <v>260</v>
      </c>
      <c r="CK15"/>
      <c r="CL15"/>
      <c r="CM15"/>
      <c r="CN15"/>
      <c r="CO15"/>
      <c r="CP15" s="100" t="s">
        <v>261</v>
      </c>
      <c r="CQ15" s="100" t="s">
        <v>262</v>
      </c>
      <c r="CU15"/>
      <c r="CV15" s="223" t="s">
        <v>263</v>
      </c>
      <c r="CW15" s="223" t="s">
        <v>459</v>
      </c>
      <c r="CX15" s="223" t="s">
        <v>652</v>
      </c>
      <c r="CY15" s="223">
        <v>1E-3</v>
      </c>
      <c r="CZ15" s="224" t="s">
        <v>238</v>
      </c>
      <c r="DA15"/>
      <c r="DB15" s="150" t="s">
        <v>654</v>
      </c>
      <c r="DC15" s="150" t="s">
        <v>655</v>
      </c>
    </row>
    <row r="16" spans="2:107" ht="15" customHeight="1">
      <c r="J16"/>
      <c r="K16"/>
      <c r="L16" s="211">
        <v>1</v>
      </c>
      <c r="M16" s="173">
        <f t="shared" si="17"/>
        <v>0</v>
      </c>
      <c r="N16" s="173">
        <f t="shared" si="18"/>
        <v>0</v>
      </c>
      <c r="O16" s="207"/>
      <c r="P16" s="207"/>
      <c r="Q16" s="207"/>
      <c r="R16" s="207"/>
      <c r="S16" s="209"/>
      <c r="T16" s="264"/>
      <c r="U16" s="187" t="str">
        <f t="shared" si="2"/>
        <v/>
      </c>
      <c r="V16" s="188" t="str">
        <f>IFERROR(IF($O16&lt;&gt;"",IF($P16&lt;3,IF(RIGHT($O16,4)="연료연소",IFERROR(VLOOKUP($Q16,IF($P16=1,EF_Combustion1,EF_Combustion2),10,0),VLOOKUP(VLOOKUP($Q16,재분류,2,0),IF($P16=1,EF_Combustion1,EF_Combustion2),10,0)),IF(LEFT($O16,2)="이동",VLOOKUP($Q16,EF_Combustion_mobile,10,0),VLOOKUP($Q16,EF_Indirect,10,0))),"Tier3"),""),0)</f>
        <v/>
      </c>
      <c r="W16" s="226"/>
      <c r="X16" s="227" t="str">
        <f>IFERROR(IF($O16&lt;&gt;"",IF($P16&lt;3,IF(RIGHT($O16,4)="연료연소",IFERROR(VLOOKUP($Q16,IF($P16=1,EF_Combustion1,EF_Combustion2),8,0),VLOOKUP(VLOOKUP($Q16,재분류,2,0),IF($P16=1,EF_Combustion1,EF_Combustion2),8,0)),IF(LEFT($O16,2)="이동",VLOOKUP($Q16,EF_Combustion_mobile,8,0),VLOOKUP($Q16,EF_Indirect,8,0))),"Tier3"),""),0)</f>
        <v/>
      </c>
      <c r="Y16" s="228" t="str">
        <f>IFERROR(IF($O16&lt;&gt;"",IF($P16&lt;3,IF(RIGHT($O16,4)="연료연소",IFERROR(VLOOKUP($Q16,IF($P16=1,EF_Combustion1,EF_Combustion2),12,0),VLOOKUP(VLOOKUP($Q16,재분류,2,0),IF($P16=1,EF_Combustion1,EF_Combustion2),12,0)),IF(LEFT($O16,2)="이동",VLOOKUP($Q16,EF_Combustion_mobile,12,0),VLOOKUP($Q16,EF_Indirect,12,0))),"Tier3"),""),0)</f>
        <v/>
      </c>
      <c r="Z16" s="228"/>
      <c r="AA16" s="229" t="str">
        <f>IFERROR(IF($O16&lt;&gt;"",IF($P16&lt;3,IF(RIGHT($O16,4)="연료연소",IFERROR(VLOOKUP($Q16,IF($P16=1,EF_Combustion1,EF_Combustion2),11,0),VLOOKUP(VLOOKUP($Q16,재분류,2,0),IF($P16=1,EF_Combustion1,EF_Combustion2),11,0)),IF(LEFT($O16,2)="이동",VLOOKUP($Q16,EF_Combustion_mobile,11,0),VLOOKUP($Q16,EF_Indirect,11,0))),"Tier3"),""),0)</f>
        <v/>
      </c>
      <c r="AB16" s="230" t="str">
        <f>IFERROR(IF($O16&lt;&gt;"",IF($P16&lt;3,IF(RIGHT($O16,4)="연료연소",IFERROR(VLOOKUP($Q16,IF($P16=1,EF_Combustion1,EF_Combustion2),12+VLOOKUP(적용업종,업종분류,2,0),0),VLOOKUP(VLOOKUP($Q16,재분류,2,0),IF($P16=1,EF_Combustion1,EF_Combustion2),12+VLOOKUP(적용업종,업종분류,2,0),0)),IF(LEFT($O16,2)="이동",VLOOKUP($Q16,EF_Combustion_mobile,12+VLOOKUP(적용업종,업종분류,2,0),0),VLOOKUP($Q16,EF_Indirect,12+VLOOKUP(적용업종,업종분류,2,0),0))),"Tier3"),""),0)</f>
        <v/>
      </c>
      <c r="AC16" s="230"/>
      <c r="AD16" s="229" t="str">
        <f t="shared" si="3"/>
        <v/>
      </c>
      <c r="AE16" s="230" t="str">
        <f>IFERROR(IF($O16&lt;&gt;"",IF($P16&lt;3,IF(RIGHT($O16,4)="연료연소",IFERROR(VLOOKUP($Q16,IF($P16=1,EF_Combustion1,EF_Combustion2),16+VLOOKUP(적용업종,업종분류,3,0),0),VLOOKUP(VLOOKUP($Q16,재분류,2,0),IF($P16=1,EF_Combustion1,EF_Combustion2),16+VLOOKUP(적용업종,업종분류,3,0),0)),IF(LEFT($O16,2)="이동",VLOOKUP($Q16,EF_Combustion_mobile,16+VLOOKUP(적용업종,업종분류,3,0),0),VLOOKUP($Q16,EF_Indirect,16+VLOOKUP(적용업종,업종분류,3,0),0))),"Tier3"),""),0)</f>
        <v/>
      </c>
      <c r="AF16" s="230"/>
      <c r="AG16" s="225" t="str">
        <f t="shared" si="4"/>
        <v/>
      </c>
      <c r="AH16" s="189" t="str">
        <f t="shared" si="5"/>
        <v/>
      </c>
      <c r="AI16" s="210"/>
      <c r="AJ16" s="207"/>
      <c r="AK16" s="207"/>
      <c r="AL16" s="207"/>
      <c r="AM16" s="209"/>
      <c r="AN16" s="264"/>
      <c r="AO16" s="187" t="str">
        <f t="shared" si="6"/>
        <v/>
      </c>
      <c r="AP16" s="188" t="str">
        <f>IFERROR(IF($AI16&lt;&gt;"",IF($AJ16&lt;3,IF(RIGHT($AI16,4)="연료연소",IFERROR(VLOOKUP($AK16,IF($AJ16=1,EF_Combustion1,EF_Combustion2),10,0),VLOOKUP(VLOOKUP($AK16,재분류,2,0),IF($AJ16=1,EF_Combustion1,EF_Combustion2),10,0)),IF(LEFT($AI16,2)="이동",VLOOKUP($AK16,EF_Combustion_mobile,10,0),VLOOKUP($AK16,EF_Indirect,10,0))),"Tier3"),""),0)</f>
        <v/>
      </c>
      <c r="AQ16" s="226"/>
      <c r="AR16" s="227" t="str">
        <f>IFERROR(IF($AI16&lt;&gt;"",IF($AJ16&lt;3,IF(RIGHT($AI16,4)="연료연소",IFERROR(VLOOKUP($AK16,IF($AJ16=1,EF_Combustion1,EF_Combustion2),8,0),VLOOKUP(VLOOKUP($AK16,재분류,2,0),IF($AJ16=1,EF_Combustion1,EF_Combustion2),8,0)),IF(LEFT($AI16,2)="이동",VLOOKUP($AK16,EF_Combustion_mobile,8,0),VLOOKUP($AK16,EF_Indirect,8,0))),"Tier3"),""),0)</f>
        <v/>
      </c>
      <c r="AS16" s="228" t="str">
        <f>IFERROR(IF($AI16&lt;&gt;"",IF($AJ16&lt;3,IF(RIGHT($AI16,4)="연료연소",IFERROR(VLOOKUP($AK16,IF($AJ16=1,EF_Combustion1,EF_Combustion2),12,0),VLOOKUP(VLOOKUP($AK16,재분류,2,0),IF($AJ16=1,EF_Combustion1,EF_Combustion2),12,0)),IF(LEFT($AI16,2)="이동",VLOOKUP($AK16,EF_Combustion_mobile,12,0),VLOOKUP($AK16,EF_Indirect,12,0))),"Tier3"),""),0)</f>
        <v/>
      </c>
      <c r="AT16" s="228"/>
      <c r="AU16" s="229" t="str">
        <f>IFERROR(IF($AI16&lt;&gt;"",IF($AJ16&lt;3,IF(RIGHT($AI16,4)="연료연소",IFERROR(VLOOKUP($AK16,IF($AJ16=1,EF_Combustion1,EF_Combustion2),11,0),VLOOKUP(VLOOKUP($AK16,재분류,2,0),IF($AJ16=1,EF_Combustion1,EF_Combustion2),11,0)),IF(LEFT($AI16,2)="이동",VLOOKUP($AK16,EF_Combustion_mobile,11,0),VLOOKUP($AK16,EF_Indirect,11,0))),"Tier3"),""),0)</f>
        <v/>
      </c>
      <c r="AV16" s="230" t="str">
        <f>IFERROR(IF($AI16&lt;&gt;"",IF($AJ16&lt;3,IF(RIGHT($AI16,4)="연료연소",IFERROR(VLOOKUP($AK16,IF($AJ16=1,EF_Combustion1,EF_Combustion2),12+VLOOKUP(적용업종,업종분류,2,0),0),VLOOKUP(VLOOKUP($AK16,재분류,2,0),IF($AJ16=1,EF_Combustion1,EF_Combustion2),12+VLOOKUP(적용업종,업종분류,2,0),0)),IF(LEFT($AI16,2)="이동",VLOOKUP($AK16,EF_Combustion_mobile,12+VLOOKUP(적용업종,업종분류,2,0),0),VLOOKUP($AK16,EF_Indirect,12+VLOOKUP(적용업종,업종분류,2,0),0))),"Tier3"),""),0)</f>
        <v/>
      </c>
      <c r="AW16" s="230"/>
      <c r="AX16" s="229" t="str">
        <f t="shared" si="7"/>
        <v/>
      </c>
      <c r="AY16" s="230" t="str">
        <f>IFERROR(IF($AI16&lt;&gt;"",IF($AJ16&lt;3,IF(RIGHT($AI16,4)="연료연소",IFERROR(VLOOKUP($AK16,IF($AJ16=1,EF_Combustion1,EF_Combustion2),16+VLOOKUP(적용업종,업종분류,3,0),0),VLOOKUP(VLOOKUP($AK16,재분류,2,0),IF($AJ16=1,EF_Combustion1,EF_Combustion2),16+VLOOKUP(적용업종,업종분류,3,0),0)),IF(LEFT($AI16,2)="이동",VLOOKUP($AK16,EF_Combustion_mobile,16+VLOOKUP(적용업종,업종분류,3,0),0),VLOOKUP($AK16,EF_Indirect,16+VLOOKUP(적용업종,업종분류,3,0),0))),"Tier3"),""),0)</f>
        <v/>
      </c>
      <c r="AZ16" s="230"/>
      <c r="BA16" s="225" t="str">
        <f t="shared" si="8"/>
        <v/>
      </c>
      <c r="BB16" s="190" t="str">
        <f t="shared" si="9"/>
        <v/>
      </c>
      <c r="BN16" s="62" t="s">
        <v>211</v>
      </c>
      <c r="BO16" s="595"/>
      <c r="BP16" s="91" t="s">
        <v>204</v>
      </c>
      <c r="BQ16" s="91" t="s">
        <v>264</v>
      </c>
      <c r="BR16" s="91" t="s">
        <v>264</v>
      </c>
      <c r="BS16" s="91"/>
      <c r="BT16" s="91"/>
      <c r="BU16" s="91"/>
      <c r="BV16" s="91"/>
      <c r="BW16" s="91"/>
      <c r="BX16" s="91" t="s">
        <v>240</v>
      </c>
      <c r="BY16" s="91">
        <v>18.899999999999999</v>
      </c>
      <c r="BZ16" s="91">
        <v>26.7</v>
      </c>
      <c r="CA16" s="91" t="s">
        <v>207</v>
      </c>
      <c r="CB16" s="92">
        <v>98300</v>
      </c>
      <c r="CC16" s="91">
        <v>1</v>
      </c>
      <c r="CD16" s="91">
        <v>10</v>
      </c>
      <c r="CE16" s="91">
        <v>10</v>
      </c>
      <c r="CF16" s="91">
        <v>300</v>
      </c>
      <c r="CG16" s="91">
        <v>1.5</v>
      </c>
      <c r="CH16" s="91">
        <v>1.5</v>
      </c>
      <c r="CI16" s="91" t="s">
        <v>265</v>
      </c>
      <c r="CJ16" s="4" t="s">
        <v>266</v>
      </c>
      <c r="CK16"/>
      <c r="CL16"/>
      <c r="CM16"/>
      <c r="CN16"/>
      <c r="CO16"/>
      <c r="CP16" s="93" t="s">
        <v>267</v>
      </c>
      <c r="CQ16" s="101">
        <v>1</v>
      </c>
      <c r="CR16"/>
      <c r="CS16"/>
      <c r="CT16"/>
      <c r="CU16"/>
      <c r="CV16" s="4" t="s">
        <v>268</v>
      </c>
      <c r="CW16" s="4" t="s">
        <v>202</v>
      </c>
      <c r="CX16" s="4" t="s">
        <v>253</v>
      </c>
      <c r="CY16" s="4">
        <v>1</v>
      </c>
      <c r="CZ16" s="95" t="s">
        <v>268</v>
      </c>
      <c r="DA16"/>
      <c r="DB16" s="151" t="s">
        <v>656</v>
      </c>
      <c r="DC16" s="151" t="s">
        <v>657</v>
      </c>
    </row>
    <row r="17" spans="2:107" ht="15" customHeight="1">
      <c r="J17"/>
      <c r="K17"/>
      <c r="L17" s="211">
        <v>1</v>
      </c>
      <c r="M17" s="173">
        <f t="shared" si="17"/>
        <v>0</v>
      </c>
      <c r="N17" s="173">
        <f t="shared" si="18"/>
        <v>0</v>
      </c>
      <c r="O17" s="207"/>
      <c r="P17" s="207"/>
      <c r="Q17" s="207"/>
      <c r="R17" s="207"/>
      <c r="S17" s="209"/>
      <c r="T17" s="264"/>
      <c r="U17" s="187" t="str">
        <f t="shared" si="2"/>
        <v/>
      </c>
      <c r="V17" s="188" t="str">
        <f>IFERROR(IF($O17&lt;&gt;"",IF($P17&lt;3,IF(RIGHT($O17,4)="연료연소",IFERROR(VLOOKUP($Q17,IF($P17=1,EF_Combustion1,EF_Combustion2),10,0),VLOOKUP(VLOOKUP($Q17,재분류,2,0),IF($P17=1,EF_Combustion1,EF_Combustion2),10,0)),IF(LEFT($O17,2)="이동",VLOOKUP($Q17,EF_Combustion_mobile,10,0),VLOOKUP($Q17,EF_Indirect,10,0))),"Tier3"),""),0)</f>
        <v/>
      </c>
      <c r="W17" s="226"/>
      <c r="X17" s="227" t="str">
        <f>IFERROR(IF($O17&lt;&gt;"",IF($P17&lt;3,IF(RIGHT($O17,4)="연료연소",IFERROR(VLOOKUP($Q17,IF($P17=1,EF_Combustion1,EF_Combustion2),8,0),VLOOKUP(VLOOKUP($Q17,재분류,2,0),IF($P17=1,EF_Combustion1,EF_Combustion2),8,0)),IF(LEFT($O17,2)="이동",VLOOKUP($Q17,EF_Combustion_mobile,8,0),VLOOKUP($Q17,EF_Indirect,8,0))),"Tier3"),""),0)</f>
        <v/>
      </c>
      <c r="Y17" s="228" t="str">
        <f>IFERROR(IF($O17&lt;&gt;"",IF($P17&lt;3,IF(RIGHT($O17,4)="연료연소",IFERROR(VLOOKUP($Q17,IF($P17=1,EF_Combustion1,EF_Combustion2),12,0),VLOOKUP(VLOOKUP($Q17,재분류,2,0),IF($P17=1,EF_Combustion1,EF_Combustion2),12,0)),IF(LEFT($O17,2)="이동",VLOOKUP($Q17,EF_Combustion_mobile,12,0),VLOOKUP($Q17,EF_Indirect,12,0))),"Tier3"),""),0)</f>
        <v/>
      </c>
      <c r="Z17" s="228"/>
      <c r="AA17" s="229" t="str">
        <f>IFERROR(IF($O17&lt;&gt;"",IF($P17&lt;3,IF(RIGHT($O17,4)="연료연소",IFERROR(VLOOKUP($Q17,IF($P17=1,EF_Combustion1,EF_Combustion2),11,0),VLOOKUP(VLOOKUP($Q17,재분류,2,0),IF($P17=1,EF_Combustion1,EF_Combustion2),11,0)),IF(LEFT($O17,2)="이동",VLOOKUP($Q17,EF_Combustion_mobile,11,0),VLOOKUP($Q17,EF_Indirect,11,0))),"Tier3"),""),0)</f>
        <v/>
      </c>
      <c r="AB17" s="230" t="str">
        <f>IFERROR(IF($O17&lt;&gt;"",IF($P17&lt;3,IF(RIGHT($O17,4)="연료연소",IFERROR(VLOOKUP($Q17,IF($P17=1,EF_Combustion1,EF_Combustion2),12+VLOOKUP(적용업종,업종분류,2,0),0),VLOOKUP(VLOOKUP($Q17,재분류,2,0),IF($P17=1,EF_Combustion1,EF_Combustion2),12+VLOOKUP(적용업종,업종분류,2,0),0)),IF(LEFT($O17,2)="이동",VLOOKUP($Q17,EF_Combustion_mobile,12+VLOOKUP(적용업종,업종분류,2,0),0),VLOOKUP($Q17,EF_Indirect,12+VLOOKUP(적용업종,업종분류,2,0),0))),"Tier3"),""),0)</f>
        <v/>
      </c>
      <c r="AC17" s="230"/>
      <c r="AD17" s="229" t="str">
        <f t="shared" si="3"/>
        <v/>
      </c>
      <c r="AE17" s="230" t="str">
        <f>IFERROR(IF($O17&lt;&gt;"",IF($P17&lt;3,IF(RIGHT($O17,4)="연료연소",IFERROR(VLOOKUP($Q17,IF($P17=1,EF_Combustion1,EF_Combustion2),16+VLOOKUP(적용업종,업종분류,3,0),0),VLOOKUP(VLOOKUP($Q17,재분류,2,0),IF($P17=1,EF_Combustion1,EF_Combustion2),16+VLOOKUP(적용업종,업종분류,3,0),0)),IF(LEFT($O17,2)="이동",VLOOKUP($Q17,EF_Combustion_mobile,16+VLOOKUP(적용업종,업종분류,3,0),0),VLOOKUP($Q17,EF_Indirect,16+VLOOKUP(적용업종,업종분류,3,0),0))),"Tier3"),""),0)</f>
        <v/>
      </c>
      <c r="AF17" s="230"/>
      <c r="AG17" s="225" t="str">
        <f t="shared" si="4"/>
        <v/>
      </c>
      <c r="AH17" s="189" t="str">
        <f t="shared" si="5"/>
        <v/>
      </c>
      <c r="AI17" s="210"/>
      <c r="AJ17" s="207"/>
      <c r="AK17" s="207"/>
      <c r="AL17" s="207"/>
      <c r="AM17" s="209"/>
      <c r="AN17" s="264"/>
      <c r="AO17" s="187" t="str">
        <f t="shared" si="6"/>
        <v/>
      </c>
      <c r="AP17" s="188" t="str">
        <f>IFERROR(IF($AI17&lt;&gt;"",IF($AJ17&lt;3,IF(RIGHT($AI17,4)="연료연소",IFERROR(VLOOKUP($AK17,IF($AJ17=1,EF_Combustion1,EF_Combustion2),10,0),VLOOKUP(VLOOKUP($AK17,재분류,2,0),IF($AJ17=1,EF_Combustion1,EF_Combustion2),10,0)),IF(LEFT($AI17,2)="이동",VLOOKUP($AK17,EF_Combustion_mobile,10,0),VLOOKUP($AK17,EF_Indirect,10,0))),"Tier3"),""),0)</f>
        <v/>
      </c>
      <c r="AQ17" s="226"/>
      <c r="AR17" s="227" t="str">
        <f>IFERROR(IF($AI17&lt;&gt;"",IF($AJ17&lt;3,IF(RIGHT($AI17,4)="연료연소",IFERROR(VLOOKUP($AK17,IF($AJ17=1,EF_Combustion1,EF_Combustion2),8,0),VLOOKUP(VLOOKUP($AK17,재분류,2,0),IF($AJ17=1,EF_Combustion1,EF_Combustion2),8,0)),IF(LEFT($AI17,2)="이동",VLOOKUP($AK17,EF_Combustion_mobile,8,0),VLOOKUP($AK17,EF_Indirect,8,0))),"Tier3"),""),0)</f>
        <v/>
      </c>
      <c r="AS17" s="228" t="str">
        <f>IFERROR(IF($AI17&lt;&gt;"",IF($AJ17&lt;3,IF(RIGHT($AI17,4)="연료연소",IFERROR(VLOOKUP($AK17,IF($AJ17=1,EF_Combustion1,EF_Combustion2),12,0),VLOOKUP(VLOOKUP($AK17,재분류,2,0),IF($AJ17=1,EF_Combustion1,EF_Combustion2),12,0)),IF(LEFT($AI17,2)="이동",VLOOKUP($AK17,EF_Combustion_mobile,12,0),VLOOKUP($AK17,EF_Indirect,12,0))),"Tier3"),""),0)</f>
        <v/>
      </c>
      <c r="AT17" s="228"/>
      <c r="AU17" s="229" t="str">
        <f>IFERROR(IF($AI17&lt;&gt;"",IF($AJ17&lt;3,IF(RIGHT($AI17,4)="연료연소",IFERROR(VLOOKUP($AK17,IF($AJ17=1,EF_Combustion1,EF_Combustion2),11,0),VLOOKUP(VLOOKUP($AK17,재분류,2,0),IF($AJ17=1,EF_Combustion1,EF_Combustion2),11,0)),IF(LEFT($AI17,2)="이동",VLOOKUP($AK17,EF_Combustion_mobile,11,0),VLOOKUP($AK17,EF_Indirect,11,0))),"Tier3"),""),0)</f>
        <v/>
      </c>
      <c r="AV17" s="230" t="str">
        <f>IFERROR(IF($AI17&lt;&gt;"",IF($AJ17&lt;3,IF(RIGHT($AI17,4)="연료연소",IFERROR(VLOOKUP($AK17,IF($AJ17=1,EF_Combustion1,EF_Combustion2),12+VLOOKUP(적용업종,업종분류,2,0),0),VLOOKUP(VLOOKUP($AK17,재분류,2,0),IF($AJ17=1,EF_Combustion1,EF_Combustion2),12+VLOOKUP(적용업종,업종분류,2,0),0)),IF(LEFT($AI17,2)="이동",VLOOKUP($AK17,EF_Combustion_mobile,12+VLOOKUP(적용업종,업종분류,2,0),0),VLOOKUP($AK17,EF_Indirect,12+VLOOKUP(적용업종,업종분류,2,0),0))),"Tier3"),""),0)</f>
        <v/>
      </c>
      <c r="AW17" s="230"/>
      <c r="AX17" s="229" t="str">
        <f t="shared" si="7"/>
        <v/>
      </c>
      <c r="AY17" s="230" t="str">
        <f>IFERROR(IF($AI17&lt;&gt;"",IF($AJ17&lt;3,IF(RIGHT($AI17,4)="연료연소",IFERROR(VLOOKUP($AK17,IF($AJ17=1,EF_Combustion1,EF_Combustion2),16+VLOOKUP(적용업종,업종분류,3,0),0),VLOOKUP(VLOOKUP($AK17,재분류,2,0),IF($AJ17=1,EF_Combustion1,EF_Combustion2),16+VLOOKUP(적용업종,업종분류,3,0),0)),IF(LEFT($AI17,2)="이동",VLOOKUP($AK17,EF_Combustion_mobile,16+VLOOKUP(적용업종,업종분류,3,0),0),VLOOKUP($AK17,EF_Indirect,16+VLOOKUP(적용업종,업종분류,3,0),0))),"Tier3"),""),0)</f>
        <v/>
      </c>
      <c r="AZ17" s="230"/>
      <c r="BA17" s="225" t="str">
        <f t="shared" si="8"/>
        <v/>
      </c>
      <c r="BB17" s="190" t="str">
        <f t="shared" si="9"/>
        <v/>
      </c>
      <c r="BN17" s="62" t="s">
        <v>211</v>
      </c>
      <c r="BO17" s="595"/>
      <c r="BP17" s="91" t="s">
        <v>204</v>
      </c>
      <c r="BQ17" s="91" t="s">
        <v>239</v>
      </c>
      <c r="BR17" s="91" t="s">
        <v>239</v>
      </c>
      <c r="BS17" s="91"/>
      <c r="BT17" s="91"/>
      <c r="BU17" s="91"/>
      <c r="BV17" s="91"/>
      <c r="BW17" s="91"/>
      <c r="BX17" s="91" t="s">
        <v>240</v>
      </c>
      <c r="BY17" s="91">
        <v>11.6</v>
      </c>
      <c r="BZ17" s="91">
        <v>11.6</v>
      </c>
      <c r="CA17" s="91" t="s">
        <v>207</v>
      </c>
      <c r="CB17" s="92">
        <v>100000</v>
      </c>
      <c r="CC17" s="91">
        <v>30</v>
      </c>
      <c r="CD17" s="91">
        <v>30</v>
      </c>
      <c r="CE17" s="91">
        <v>300</v>
      </c>
      <c r="CF17" s="91">
        <v>300</v>
      </c>
      <c r="CG17" s="91">
        <v>4</v>
      </c>
      <c r="CH17" s="91">
        <v>4</v>
      </c>
      <c r="CI17" s="4" t="s">
        <v>241</v>
      </c>
      <c r="CJ17" s="4"/>
      <c r="CK17"/>
      <c r="CL17"/>
      <c r="CM17"/>
      <c r="CN17"/>
      <c r="CO17"/>
      <c r="CP17" s="93" t="s">
        <v>269</v>
      </c>
      <c r="CQ17" s="101">
        <v>21</v>
      </c>
      <c r="CR17"/>
      <c r="CS17"/>
      <c r="CT17"/>
      <c r="CU17"/>
      <c r="CV17" s="4" t="s">
        <v>270</v>
      </c>
      <c r="CW17" s="4" t="s">
        <v>202</v>
      </c>
      <c r="CX17" s="4" t="s">
        <v>253</v>
      </c>
      <c r="CY17" s="4">
        <v>1E-3</v>
      </c>
      <c r="CZ17" s="95" t="s">
        <v>268</v>
      </c>
      <c r="DA17"/>
      <c r="DB17" s="151" t="s">
        <v>658</v>
      </c>
      <c r="DC17" s="151" t="s">
        <v>659</v>
      </c>
    </row>
    <row r="18" spans="2:107" ht="15" customHeight="1">
      <c r="J18"/>
      <c r="K18"/>
      <c r="L18" s="211">
        <v>1</v>
      </c>
      <c r="M18" s="173">
        <f t="shared" si="17"/>
        <v>0</v>
      </c>
      <c r="N18" s="173">
        <f t="shared" si="18"/>
        <v>0</v>
      </c>
      <c r="O18" s="207"/>
      <c r="P18" s="207"/>
      <c r="Q18" s="207"/>
      <c r="R18" s="207"/>
      <c r="S18" s="209"/>
      <c r="T18" s="264"/>
      <c r="U18" s="187" t="str">
        <f t="shared" si="2"/>
        <v/>
      </c>
      <c r="V18" s="188" t="str">
        <f>IFERROR(IF($O18&lt;&gt;"",IF($P18&lt;3,IF(RIGHT($O18,4)="연료연소",IFERROR(VLOOKUP($Q18,IF($P18=1,EF_Combustion1,EF_Combustion2),10,0),VLOOKUP(VLOOKUP($Q18,재분류,2,0),IF($P18=1,EF_Combustion1,EF_Combustion2),10,0)),IF(LEFT($O18,2)="이동",VLOOKUP($Q18,EF_Combustion_mobile,10,0),VLOOKUP($Q18,EF_Indirect,10,0))),"Tier3"),""),0)</f>
        <v/>
      </c>
      <c r="W18" s="226"/>
      <c r="X18" s="227" t="str">
        <f>IFERROR(IF($O18&lt;&gt;"",IF($P18&lt;3,IF(RIGHT($O18,4)="연료연소",IFERROR(VLOOKUP($Q18,IF($P18=1,EF_Combustion1,EF_Combustion2),8,0),VLOOKUP(VLOOKUP($Q18,재분류,2,0),IF($P18=1,EF_Combustion1,EF_Combustion2),8,0)),IF(LEFT($O18,2)="이동",VLOOKUP($Q18,EF_Combustion_mobile,8,0),VLOOKUP($Q18,EF_Indirect,8,0))),"Tier3"),""),0)</f>
        <v/>
      </c>
      <c r="Y18" s="228" t="str">
        <f>IFERROR(IF($O18&lt;&gt;"",IF($P18&lt;3,IF(RIGHT($O18,4)="연료연소",IFERROR(VLOOKUP($Q18,IF($P18=1,EF_Combustion1,EF_Combustion2),12,0),VLOOKUP(VLOOKUP($Q18,재분류,2,0),IF($P18=1,EF_Combustion1,EF_Combustion2),12,0)),IF(LEFT($O18,2)="이동",VLOOKUP($Q18,EF_Combustion_mobile,12,0),VLOOKUP($Q18,EF_Indirect,12,0))),"Tier3"),""),0)</f>
        <v/>
      </c>
      <c r="Z18" s="228"/>
      <c r="AA18" s="229" t="str">
        <f>IFERROR(IF($O18&lt;&gt;"",IF($P18&lt;3,IF(RIGHT($O18,4)="연료연소",IFERROR(VLOOKUP($Q18,IF($P18=1,EF_Combustion1,EF_Combustion2),11,0),VLOOKUP(VLOOKUP($Q18,재분류,2,0),IF($P18=1,EF_Combustion1,EF_Combustion2),11,0)),IF(LEFT($O18,2)="이동",VLOOKUP($Q18,EF_Combustion_mobile,11,0),VLOOKUP($Q18,EF_Indirect,11,0))),"Tier3"),""),0)</f>
        <v/>
      </c>
      <c r="AB18" s="230" t="str">
        <f>IFERROR(IF($O18&lt;&gt;"",IF($P18&lt;3,IF(RIGHT($O18,4)="연료연소",IFERROR(VLOOKUP($Q18,IF($P18=1,EF_Combustion1,EF_Combustion2),12+VLOOKUP(적용업종,업종분류,2,0),0),VLOOKUP(VLOOKUP($Q18,재분류,2,0),IF($P18=1,EF_Combustion1,EF_Combustion2),12+VLOOKUP(적용업종,업종분류,2,0),0)),IF(LEFT($O18,2)="이동",VLOOKUP($Q18,EF_Combustion_mobile,12+VLOOKUP(적용업종,업종분류,2,0),0),VLOOKUP($Q18,EF_Indirect,12+VLOOKUP(적용업종,업종분류,2,0),0))),"Tier3"),""),0)</f>
        <v/>
      </c>
      <c r="AC18" s="230"/>
      <c r="AD18" s="229" t="str">
        <f t="shared" si="3"/>
        <v/>
      </c>
      <c r="AE18" s="230" t="str">
        <f>IFERROR(IF($O18&lt;&gt;"",IF($P18&lt;3,IF(RIGHT($O18,4)="연료연소",IFERROR(VLOOKUP($Q18,IF($P18=1,EF_Combustion1,EF_Combustion2),16+VLOOKUP(적용업종,업종분류,3,0),0),VLOOKUP(VLOOKUP($Q18,재분류,2,0),IF($P18=1,EF_Combustion1,EF_Combustion2),16+VLOOKUP(적용업종,업종분류,3,0),0)),IF(LEFT($O18,2)="이동",VLOOKUP($Q18,EF_Combustion_mobile,16+VLOOKUP(적용업종,업종분류,3,0),0),VLOOKUP($Q18,EF_Indirect,16+VLOOKUP(적용업종,업종분류,3,0),0))),"Tier3"),""),0)</f>
        <v/>
      </c>
      <c r="AF18" s="230"/>
      <c r="AG18" s="225" t="str">
        <f t="shared" si="4"/>
        <v/>
      </c>
      <c r="AH18" s="189" t="str">
        <f t="shared" si="5"/>
        <v/>
      </c>
      <c r="AI18" s="210"/>
      <c r="AJ18" s="207"/>
      <c r="AK18" s="207"/>
      <c r="AL18" s="207"/>
      <c r="AM18" s="209"/>
      <c r="AN18" s="264"/>
      <c r="AO18" s="187" t="str">
        <f t="shared" si="6"/>
        <v/>
      </c>
      <c r="AP18" s="188" t="str">
        <f>IFERROR(IF($AI18&lt;&gt;"",IF($AJ18&lt;3,IF(RIGHT($AI18,4)="연료연소",IFERROR(VLOOKUP($AK18,IF($AJ18=1,EF_Combustion1,EF_Combustion2),10,0),VLOOKUP(VLOOKUP($AK18,재분류,2,0),IF($AJ18=1,EF_Combustion1,EF_Combustion2),10,0)),IF(LEFT($AI18,2)="이동",VLOOKUP($AK18,EF_Combustion_mobile,10,0),VLOOKUP($AK18,EF_Indirect,10,0))),"Tier3"),""),0)</f>
        <v/>
      </c>
      <c r="AQ18" s="226"/>
      <c r="AR18" s="227" t="str">
        <f>IFERROR(IF($AI18&lt;&gt;"",IF($AJ18&lt;3,IF(RIGHT($AI18,4)="연료연소",IFERROR(VLOOKUP($AK18,IF($AJ18=1,EF_Combustion1,EF_Combustion2),8,0),VLOOKUP(VLOOKUP($AK18,재분류,2,0),IF($AJ18=1,EF_Combustion1,EF_Combustion2),8,0)),IF(LEFT($AI18,2)="이동",VLOOKUP($AK18,EF_Combustion_mobile,8,0),VLOOKUP($AK18,EF_Indirect,8,0))),"Tier3"),""),0)</f>
        <v/>
      </c>
      <c r="AS18" s="228" t="str">
        <f>IFERROR(IF($AI18&lt;&gt;"",IF($AJ18&lt;3,IF(RIGHT($AI18,4)="연료연소",IFERROR(VLOOKUP($AK18,IF($AJ18=1,EF_Combustion1,EF_Combustion2),12,0),VLOOKUP(VLOOKUP($AK18,재분류,2,0),IF($AJ18=1,EF_Combustion1,EF_Combustion2),12,0)),IF(LEFT($AI18,2)="이동",VLOOKUP($AK18,EF_Combustion_mobile,12,0),VLOOKUP($AK18,EF_Indirect,12,0))),"Tier3"),""),0)</f>
        <v/>
      </c>
      <c r="AT18" s="228"/>
      <c r="AU18" s="229" t="str">
        <f>IFERROR(IF($AI18&lt;&gt;"",IF($AJ18&lt;3,IF(RIGHT($AI18,4)="연료연소",IFERROR(VLOOKUP($AK18,IF($AJ18=1,EF_Combustion1,EF_Combustion2),11,0),VLOOKUP(VLOOKUP($AK18,재분류,2,0),IF($AJ18=1,EF_Combustion1,EF_Combustion2),11,0)),IF(LEFT($AI18,2)="이동",VLOOKUP($AK18,EF_Combustion_mobile,11,0),VLOOKUP($AK18,EF_Indirect,11,0))),"Tier3"),""),0)</f>
        <v/>
      </c>
      <c r="AV18" s="230" t="str">
        <f>IFERROR(IF($AI18&lt;&gt;"",IF($AJ18&lt;3,IF(RIGHT($AI18,4)="연료연소",IFERROR(VLOOKUP($AK18,IF($AJ18=1,EF_Combustion1,EF_Combustion2),12+VLOOKUP(적용업종,업종분류,2,0),0),VLOOKUP(VLOOKUP($AK18,재분류,2,0),IF($AJ18=1,EF_Combustion1,EF_Combustion2),12+VLOOKUP(적용업종,업종분류,2,0),0)),IF(LEFT($AI18,2)="이동",VLOOKUP($AK18,EF_Combustion_mobile,12+VLOOKUP(적용업종,업종분류,2,0),0),VLOOKUP($AK18,EF_Indirect,12+VLOOKUP(적용업종,업종분류,2,0),0))),"Tier3"),""),0)</f>
        <v/>
      </c>
      <c r="AW18" s="230"/>
      <c r="AX18" s="229" t="str">
        <f t="shared" si="7"/>
        <v/>
      </c>
      <c r="AY18" s="230" t="str">
        <f>IFERROR(IF($AI18&lt;&gt;"",IF($AJ18&lt;3,IF(RIGHT($AI18,4)="연료연소",IFERROR(VLOOKUP($AK18,IF($AJ18=1,EF_Combustion1,EF_Combustion2),16+VLOOKUP(적용업종,업종분류,3,0),0),VLOOKUP(VLOOKUP($AK18,재분류,2,0),IF($AJ18=1,EF_Combustion1,EF_Combustion2),16+VLOOKUP(적용업종,업종분류,3,0),0)),IF(LEFT($AI18,2)="이동",VLOOKUP($AK18,EF_Combustion_mobile,16+VLOOKUP(적용업종,업종분류,3,0),0),VLOOKUP($AK18,EF_Indirect,16+VLOOKUP(적용업종,업종분류,3,0),0))),"Tier3"),""),0)</f>
        <v/>
      </c>
      <c r="AZ18" s="230"/>
      <c r="BA18" s="225" t="str">
        <f t="shared" si="8"/>
        <v/>
      </c>
      <c r="BB18" s="190" t="str">
        <f t="shared" si="9"/>
        <v/>
      </c>
      <c r="BN18" s="62" t="s">
        <v>211</v>
      </c>
      <c r="BO18" s="595"/>
      <c r="BP18" s="91" t="s">
        <v>204</v>
      </c>
      <c r="BQ18" s="91" t="s">
        <v>271</v>
      </c>
      <c r="BR18" s="91" t="s">
        <v>247</v>
      </c>
      <c r="BS18" s="91"/>
      <c r="BT18" s="91"/>
      <c r="BU18" s="91"/>
      <c r="BV18" s="91"/>
      <c r="BW18" s="91"/>
      <c r="BX18" s="91" t="s">
        <v>240</v>
      </c>
      <c r="BY18" s="91">
        <v>10.31</v>
      </c>
      <c r="BZ18" s="91">
        <v>10</v>
      </c>
      <c r="CA18" s="91" t="s">
        <v>207</v>
      </c>
      <c r="CB18" s="92">
        <v>91700</v>
      </c>
      <c r="CC18" s="91">
        <v>30</v>
      </c>
      <c r="CD18" s="91">
        <v>30</v>
      </c>
      <c r="CE18" s="91">
        <v>300</v>
      </c>
      <c r="CF18" s="91">
        <v>300</v>
      </c>
      <c r="CG18" s="91">
        <v>4</v>
      </c>
      <c r="CH18" s="91">
        <v>4</v>
      </c>
      <c r="CI18" s="4" t="s">
        <v>248</v>
      </c>
      <c r="CJ18" s="4"/>
      <c r="CK18"/>
      <c r="CL18"/>
      <c r="CM18"/>
      <c r="CN18"/>
      <c r="CO18"/>
      <c r="CP18" s="93" t="s">
        <v>272</v>
      </c>
      <c r="CQ18" s="101">
        <v>310</v>
      </c>
      <c r="CR18"/>
      <c r="CS18"/>
      <c r="CT18"/>
      <c r="CU18"/>
      <c r="CV18" s="4" t="s">
        <v>235</v>
      </c>
      <c r="CW18" s="4" t="s">
        <v>211</v>
      </c>
      <c r="CX18" s="4" t="s">
        <v>273</v>
      </c>
      <c r="CY18" s="4">
        <v>1</v>
      </c>
      <c r="CZ18" s="95" t="s">
        <v>274</v>
      </c>
      <c r="DA18"/>
      <c r="DB18" s="151" t="s">
        <v>660</v>
      </c>
      <c r="DC18" s="151" t="s">
        <v>661</v>
      </c>
    </row>
    <row r="19" spans="2:107" ht="15" customHeight="1" thickBot="1">
      <c r="J19"/>
      <c r="K19"/>
      <c r="L19" s="211">
        <v>1</v>
      </c>
      <c r="M19" s="173">
        <f t="shared" si="17"/>
        <v>0</v>
      </c>
      <c r="N19" s="173">
        <f t="shared" si="18"/>
        <v>0</v>
      </c>
      <c r="O19" s="207"/>
      <c r="P19" s="207"/>
      <c r="Q19" s="207"/>
      <c r="R19" s="207"/>
      <c r="S19" s="209"/>
      <c r="T19" s="264"/>
      <c r="U19" s="187" t="str">
        <f t="shared" si="2"/>
        <v/>
      </c>
      <c r="V19" s="188" t="str">
        <f>IFERROR(IF($O19&lt;&gt;"",IF($P19&lt;3,IF(RIGHT($O19,4)="연료연소",IFERROR(VLOOKUP($Q19,IF($P19=1,EF_Combustion1,EF_Combustion2),10,0),VLOOKUP(VLOOKUP($Q19,재분류,2,0),IF($P19=1,EF_Combustion1,EF_Combustion2),10,0)),IF(LEFT($O19,2)="이동",VLOOKUP($Q19,EF_Combustion_mobile,10,0),VLOOKUP($Q19,EF_Indirect,10,0))),"Tier3"),""),0)</f>
        <v/>
      </c>
      <c r="W19" s="226"/>
      <c r="X19" s="227" t="str">
        <f>IFERROR(IF($O19&lt;&gt;"",IF($P19&lt;3,IF(RIGHT($O19,4)="연료연소",IFERROR(VLOOKUP($Q19,IF($P19=1,EF_Combustion1,EF_Combustion2),8,0),VLOOKUP(VLOOKUP($Q19,재분류,2,0),IF($P19=1,EF_Combustion1,EF_Combustion2),8,0)),IF(LEFT($O19,2)="이동",VLOOKUP($Q19,EF_Combustion_mobile,8,0),VLOOKUP($Q19,EF_Indirect,8,0))),"Tier3"),""),0)</f>
        <v/>
      </c>
      <c r="Y19" s="228" t="str">
        <f>IFERROR(IF($O19&lt;&gt;"",IF($P19&lt;3,IF(RIGHT($O19,4)="연료연소",IFERROR(VLOOKUP($Q19,IF($P19=1,EF_Combustion1,EF_Combustion2),12,0),VLOOKUP(VLOOKUP($Q19,재분류,2,0),IF($P19=1,EF_Combustion1,EF_Combustion2),12,0)),IF(LEFT($O19,2)="이동",VLOOKUP($Q19,EF_Combustion_mobile,12,0),VLOOKUP($Q19,EF_Indirect,12,0))),"Tier3"),""),0)</f>
        <v/>
      </c>
      <c r="Z19" s="228"/>
      <c r="AA19" s="229" t="str">
        <f>IFERROR(IF($O19&lt;&gt;"",IF($P19&lt;3,IF(RIGHT($O19,4)="연료연소",IFERROR(VLOOKUP($Q19,IF($P19=1,EF_Combustion1,EF_Combustion2),11,0),VLOOKUP(VLOOKUP($Q19,재분류,2,0),IF($P19=1,EF_Combustion1,EF_Combustion2),11,0)),IF(LEFT($O19,2)="이동",VLOOKUP($Q19,EF_Combustion_mobile,11,0),VLOOKUP($Q19,EF_Indirect,11,0))),"Tier3"),""),0)</f>
        <v/>
      </c>
      <c r="AB19" s="230" t="str">
        <f>IFERROR(IF($O19&lt;&gt;"",IF($P19&lt;3,IF(RIGHT($O19,4)="연료연소",IFERROR(VLOOKUP($Q19,IF($P19=1,EF_Combustion1,EF_Combustion2),12+VLOOKUP(적용업종,업종분류,2,0),0),VLOOKUP(VLOOKUP($Q19,재분류,2,0),IF($P19=1,EF_Combustion1,EF_Combustion2),12+VLOOKUP(적용업종,업종분류,2,0),0)),IF(LEFT($O19,2)="이동",VLOOKUP($Q19,EF_Combustion_mobile,12+VLOOKUP(적용업종,업종분류,2,0),0),VLOOKUP($Q19,EF_Indirect,12+VLOOKUP(적용업종,업종분류,2,0),0))),"Tier3"),""),0)</f>
        <v/>
      </c>
      <c r="AC19" s="230"/>
      <c r="AD19" s="229" t="str">
        <f t="shared" si="3"/>
        <v/>
      </c>
      <c r="AE19" s="230" t="str">
        <f>IFERROR(IF($O19&lt;&gt;"",IF($P19&lt;3,IF(RIGHT($O19,4)="연료연소",IFERROR(VLOOKUP($Q19,IF($P19=1,EF_Combustion1,EF_Combustion2),16+VLOOKUP(적용업종,업종분류,3,0),0),VLOOKUP(VLOOKUP($Q19,재분류,2,0),IF($P19=1,EF_Combustion1,EF_Combustion2),16+VLOOKUP(적용업종,업종분류,3,0),0)),IF(LEFT($O19,2)="이동",VLOOKUP($Q19,EF_Combustion_mobile,16+VLOOKUP(적용업종,업종분류,3,0),0),VLOOKUP($Q19,EF_Indirect,16+VLOOKUP(적용업종,업종분류,3,0),0))),"Tier3"),""),0)</f>
        <v/>
      </c>
      <c r="AF19" s="230"/>
      <c r="AG19" s="225" t="str">
        <f t="shared" si="4"/>
        <v/>
      </c>
      <c r="AH19" s="189" t="str">
        <f t="shared" si="5"/>
        <v/>
      </c>
      <c r="AI19" s="210"/>
      <c r="AJ19" s="207"/>
      <c r="AK19" s="207"/>
      <c r="AL19" s="207"/>
      <c r="AM19" s="209"/>
      <c r="AN19" s="264"/>
      <c r="AO19" s="187" t="str">
        <f t="shared" si="6"/>
        <v/>
      </c>
      <c r="AP19" s="188" t="str">
        <f>IFERROR(IF($AI19&lt;&gt;"",IF($AJ19&lt;3,IF(RIGHT($AI19,4)="연료연소",IFERROR(VLOOKUP($AK19,IF($AJ19=1,EF_Combustion1,EF_Combustion2),10,0),VLOOKUP(VLOOKUP($AK19,재분류,2,0),IF($AJ19=1,EF_Combustion1,EF_Combustion2),10,0)),IF(LEFT($AI19,2)="이동",VLOOKUP($AK19,EF_Combustion_mobile,10,0),VLOOKUP($AK19,EF_Indirect,10,0))),"Tier3"),""),0)</f>
        <v/>
      </c>
      <c r="AQ19" s="226"/>
      <c r="AR19" s="227" t="str">
        <f>IFERROR(IF($AI19&lt;&gt;"",IF($AJ19&lt;3,IF(RIGHT($AI19,4)="연료연소",IFERROR(VLOOKUP($AK19,IF($AJ19=1,EF_Combustion1,EF_Combustion2),8,0),VLOOKUP(VLOOKUP($AK19,재분류,2,0),IF($AJ19=1,EF_Combustion1,EF_Combustion2),8,0)),IF(LEFT($AI19,2)="이동",VLOOKUP($AK19,EF_Combustion_mobile,8,0),VLOOKUP($AK19,EF_Indirect,8,0))),"Tier3"),""),0)</f>
        <v/>
      </c>
      <c r="AS19" s="228" t="str">
        <f>IFERROR(IF($AI19&lt;&gt;"",IF($AJ19&lt;3,IF(RIGHT($AI19,4)="연료연소",IFERROR(VLOOKUP($AK19,IF($AJ19=1,EF_Combustion1,EF_Combustion2),12,0),VLOOKUP(VLOOKUP($AK19,재분류,2,0),IF($AJ19=1,EF_Combustion1,EF_Combustion2),12,0)),IF(LEFT($AI19,2)="이동",VLOOKUP($AK19,EF_Combustion_mobile,12,0),VLOOKUP($AK19,EF_Indirect,12,0))),"Tier3"),""),0)</f>
        <v/>
      </c>
      <c r="AT19" s="228"/>
      <c r="AU19" s="229" t="str">
        <f>IFERROR(IF($AI19&lt;&gt;"",IF($AJ19&lt;3,IF(RIGHT($AI19,4)="연료연소",IFERROR(VLOOKUP($AK19,IF($AJ19=1,EF_Combustion1,EF_Combustion2),11,0),VLOOKUP(VLOOKUP($AK19,재분류,2,0),IF($AJ19=1,EF_Combustion1,EF_Combustion2),11,0)),IF(LEFT($AI19,2)="이동",VLOOKUP($AK19,EF_Combustion_mobile,11,0),VLOOKUP($AK19,EF_Indirect,11,0))),"Tier3"),""),0)</f>
        <v/>
      </c>
      <c r="AV19" s="230" t="str">
        <f>IFERROR(IF($AI19&lt;&gt;"",IF($AJ19&lt;3,IF(RIGHT($AI19,4)="연료연소",IFERROR(VLOOKUP($AK19,IF($AJ19=1,EF_Combustion1,EF_Combustion2),12+VLOOKUP(적용업종,업종분류,2,0),0),VLOOKUP(VLOOKUP($AK19,재분류,2,0),IF($AJ19=1,EF_Combustion1,EF_Combustion2),12+VLOOKUP(적용업종,업종분류,2,0),0)),IF(LEFT($AI19,2)="이동",VLOOKUP($AK19,EF_Combustion_mobile,12+VLOOKUP(적용업종,업종분류,2,0),0),VLOOKUP($AK19,EF_Indirect,12+VLOOKUP(적용업종,업종분류,2,0),0))),"Tier3"),""),0)</f>
        <v/>
      </c>
      <c r="AW19" s="230"/>
      <c r="AX19" s="229" t="str">
        <f t="shared" si="7"/>
        <v/>
      </c>
      <c r="AY19" s="230" t="str">
        <f>IFERROR(IF($AI19&lt;&gt;"",IF($AJ19&lt;3,IF(RIGHT($AI19,4)="연료연소",IFERROR(VLOOKUP($AK19,IF($AJ19=1,EF_Combustion1,EF_Combustion2),16+VLOOKUP(적용업종,업종분류,3,0),0),VLOOKUP(VLOOKUP($AK19,재분류,2,0),IF($AJ19=1,EF_Combustion1,EF_Combustion2),16+VLOOKUP(적용업종,업종분류,3,0),0)),IF(LEFT($AI19,2)="이동",VLOOKUP($AK19,EF_Combustion_mobile,16+VLOOKUP(적용업종,업종분류,3,0),0),VLOOKUP($AK19,EF_Indirect,16+VLOOKUP(적용업종,업종분류,3,0),0))),"Tier3"),""),0)</f>
        <v/>
      </c>
      <c r="AZ19" s="230"/>
      <c r="BA19" s="225" t="str">
        <f t="shared" si="8"/>
        <v/>
      </c>
      <c r="BB19" s="190" t="str">
        <f t="shared" si="9"/>
        <v/>
      </c>
      <c r="BN19" s="62" t="s">
        <v>222</v>
      </c>
      <c r="BO19" s="595"/>
      <c r="BP19" s="91" t="s">
        <v>204</v>
      </c>
      <c r="BQ19" s="91" t="s">
        <v>275</v>
      </c>
      <c r="BR19" s="91" t="s">
        <v>276</v>
      </c>
      <c r="BS19" s="91"/>
      <c r="BT19" s="91"/>
      <c r="BU19" s="91"/>
      <c r="BV19" s="91"/>
      <c r="BW19" s="91"/>
      <c r="BX19" s="91" t="s">
        <v>240</v>
      </c>
      <c r="BY19" s="91">
        <v>55.38</v>
      </c>
      <c r="BZ19" s="91">
        <v>50.4</v>
      </c>
      <c r="CA19" s="91" t="s">
        <v>207</v>
      </c>
      <c r="CB19" s="92">
        <v>54600</v>
      </c>
      <c r="CC19" s="91">
        <v>1</v>
      </c>
      <c r="CD19" s="91">
        <v>1</v>
      </c>
      <c r="CE19" s="91">
        <v>5</v>
      </c>
      <c r="CF19" s="91">
        <v>5</v>
      </c>
      <c r="CG19" s="91">
        <v>0.1</v>
      </c>
      <c r="CH19" s="91">
        <v>0.1</v>
      </c>
      <c r="CI19" s="4" t="s">
        <v>277</v>
      </c>
      <c r="CJ19" s="4" t="s">
        <v>278</v>
      </c>
      <c r="CK19"/>
      <c r="CL19"/>
      <c r="CM19"/>
      <c r="CN19"/>
      <c r="CO19"/>
      <c r="CP19" s="93" t="s">
        <v>279</v>
      </c>
      <c r="CQ19" s="101"/>
      <c r="CR19"/>
      <c r="CS19"/>
      <c r="CT19"/>
      <c r="CU19"/>
      <c r="CV19" s="4" t="s">
        <v>280</v>
      </c>
      <c r="CW19" s="4" t="s">
        <v>211</v>
      </c>
      <c r="CX19" s="4" t="s">
        <v>273</v>
      </c>
      <c r="CY19" s="4">
        <v>1E-3</v>
      </c>
      <c r="CZ19" s="95" t="s">
        <v>274</v>
      </c>
      <c r="DA19"/>
    </row>
    <row r="20" spans="2:107" ht="15" customHeight="1">
      <c r="B20" s="570" t="s">
        <v>643</v>
      </c>
      <c r="C20" s="571"/>
      <c r="D20" s="571"/>
      <c r="E20" s="571"/>
      <c r="F20" s="571"/>
      <c r="G20" s="571"/>
      <c r="H20" s="571"/>
      <c r="I20" s="572"/>
      <c r="J20"/>
      <c r="K20"/>
      <c r="L20" s="211">
        <v>1</v>
      </c>
      <c r="M20" s="173">
        <f t="shared" si="17"/>
        <v>0</v>
      </c>
      <c r="N20" s="173">
        <f t="shared" si="18"/>
        <v>0</v>
      </c>
      <c r="O20" s="207"/>
      <c r="P20" s="207"/>
      <c r="Q20" s="207"/>
      <c r="R20" s="207"/>
      <c r="S20" s="209"/>
      <c r="T20" s="264"/>
      <c r="U20" s="187" t="str">
        <f t="shared" si="2"/>
        <v/>
      </c>
      <c r="V20" s="188" t="str">
        <f>IFERROR(IF($O20&lt;&gt;"",IF($P20&lt;3,IF(RIGHT($O20,4)="연료연소",IFERROR(VLOOKUP($Q20,IF($P20=1,EF_Combustion1,EF_Combustion2),10,0),VLOOKUP(VLOOKUP($Q20,재분류,2,0),IF($P20=1,EF_Combustion1,EF_Combustion2),10,0)),IF(LEFT($O20,2)="이동",VLOOKUP($Q20,EF_Combustion_mobile,10,0),VLOOKUP($Q20,EF_Indirect,10,0))),"Tier3"),""),0)</f>
        <v/>
      </c>
      <c r="W20" s="226"/>
      <c r="X20" s="227" t="str">
        <f>IFERROR(IF($O20&lt;&gt;"",IF($P20&lt;3,IF(RIGHT($O20,4)="연료연소",IFERROR(VLOOKUP($Q20,IF($P20=1,EF_Combustion1,EF_Combustion2),8,0),VLOOKUP(VLOOKUP($Q20,재분류,2,0),IF($P20=1,EF_Combustion1,EF_Combustion2),8,0)),IF(LEFT($O20,2)="이동",VLOOKUP($Q20,EF_Combustion_mobile,8,0),VLOOKUP($Q20,EF_Indirect,8,0))),"Tier3"),""),0)</f>
        <v/>
      </c>
      <c r="Y20" s="228" t="str">
        <f>IFERROR(IF($O20&lt;&gt;"",IF($P20&lt;3,IF(RIGHT($O20,4)="연료연소",IFERROR(VLOOKUP($Q20,IF($P20=1,EF_Combustion1,EF_Combustion2),12,0),VLOOKUP(VLOOKUP($Q20,재분류,2,0),IF($P20=1,EF_Combustion1,EF_Combustion2),12,0)),IF(LEFT($O20,2)="이동",VLOOKUP($Q20,EF_Combustion_mobile,12,0),VLOOKUP($Q20,EF_Indirect,12,0))),"Tier3"),""),0)</f>
        <v/>
      </c>
      <c r="Z20" s="228"/>
      <c r="AA20" s="229" t="str">
        <f>IFERROR(IF($O20&lt;&gt;"",IF($P20&lt;3,IF(RIGHT($O20,4)="연료연소",IFERROR(VLOOKUP($Q20,IF($P20=1,EF_Combustion1,EF_Combustion2),11,0),VLOOKUP(VLOOKUP($Q20,재분류,2,0),IF($P20=1,EF_Combustion1,EF_Combustion2),11,0)),IF(LEFT($O20,2)="이동",VLOOKUP($Q20,EF_Combustion_mobile,11,0),VLOOKUP($Q20,EF_Indirect,11,0))),"Tier3"),""),0)</f>
        <v/>
      </c>
      <c r="AB20" s="230" t="str">
        <f>IFERROR(IF($O20&lt;&gt;"",IF($P20&lt;3,IF(RIGHT($O20,4)="연료연소",IFERROR(VLOOKUP($Q20,IF($P20=1,EF_Combustion1,EF_Combustion2),12+VLOOKUP(적용업종,업종분류,2,0),0),VLOOKUP(VLOOKUP($Q20,재분류,2,0),IF($P20=1,EF_Combustion1,EF_Combustion2),12+VLOOKUP(적용업종,업종분류,2,0),0)),IF(LEFT($O20,2)="이동",VLOOKUP($Q20,EF_Combustion_mobile,12+VLOOKUP(적용업종,업종분류,2,0),0),VLOOKUP($Q20,EF_Indirect,12+VLOOKUP(적용업종,업종분류,2,0),0))),"Tier3"),""),0)</f>
        <v/>
      </c>
      <c r="AC20" s="230"/>
      <c r="AD20" s="229" t="str">
        <f t="shared" si="3"/>
        <v/>
      </c>
      <c r="AE20" s="230" t="str">
        <f>IFERROR(IF($O20&lt;&gt;"",IF($P20&lt;3,IF(RIGHT($O20,4)="연료연소",IFERROR(VLOOKUP($Q20,IF($P20=1,EF_Combustion1,EF_Combustion2),16+VLOOKUP(적용업종,업종분류,3,0),0),VLOOKUP(VLOOKUP($Q20,재분류,2,0),IF($P20=1,EF_Combustion1,EF_Combustion2),16+VLOOKUP(적용업종,업종분류,3,0),0)),IF(LEFT($O20,2)="이동",VLOOKUP($Q20,EF_Combustion_mobile,16+VLOOKUP(적용업종,업종분류,3,0),0),VLOOKUP($Q20,EF_Indirect,16+VLOOKUP(적용업종,업종분류,3,0),0))),"Tier3"),""),0)</f>
        <v/>
      </c>
      <c r="AF20" s="230"/>
      <c r="AG20" s="225" t="str">
        <f t="shared" si="4"/>
        <v/>
      </c>
      <c r="AH20" s="189" t="str">
        <f t="shared" si="5"/>
        <v/>
      </c>
      <c r="AI20" s="210"/>
      <c r="AJ20" s="207"/>
      <c r="AK20" s="207"/>
      <c r="AL20" s="207"/>
      <c r="AM20" s="209"/>
      <c r="AN20" s="264"/>
      <c r="AO20" s="187" t="str">
        <f t="shared" si="6"/>
        <v/>
      </c>
      <c r="AP20" s="188" t="str">
        <f>IFERROR(IF($AI20&lt;&gt;"",IF($AJ20&lt;3,IF(RIGHT($AI20,4)="연료연소",IFERROR(VLOOKUP($AK20,IF($AJ20=1,EF_Combustion1,EF_Combustion2),10,0),VLOOKUP(VLOOKUP($AK20,재분류,2,0),IF($AJ20=1,EF_Combustion1,EF_Combustion2),10,0)),IF(LEFT($AI20,2)="이동",VLOOKUP($AK20,EF_Combustion_mobile,10,0),VLOOKUP($AK20,EF_Indirect,10,0))),"Tier3"),""),0)</f>
        <v/>
      </c>
      <c r="AQ20" s="226"/>
      <c r="AR20" s="227" t="str">
        <f>IFERROR(IF($AI20&lt;&gt;"",IF($AJ20&lt;3,IF(RIGHT($AI20,4)="연료연소",IFERROR(VLOOKUP($AK20,IF($AJ20=1,EF_Combustion1,EF_Combustion2),8,0),VLOOKUP(VLOOKUP($AK20,재분류,2,0),IF($AJ20=1,EF_Combustion1,EF_Combustion2),8,0)),IF(LEFT($AI20,2)="이동",VLOOKUP($AK20,EF_Combustion_mobile,8,0),VLOOKUP($AK20,EF_Indirect,8,0))),"Tier3"),""),0)</f>
        <v/>
      </c>
      <c r="AS20" s="228" t="str">
        <f>IFERROR(IF($AI20&lt;&gt;"",IF($AJ20&lt;3,IF(RIGHT($AI20,4)="연료연소",IFERROR(VLOOKUP($AK20,IF($AJ20=1,EF_Combustion1,EF_Combustion2),12,0),VLOOKUP(VLOOKUP($AK20,재분류,2,0),IF($AJ20=1,EF_Combustion1,EF_Combustion2),12,0)),IF(LEFT($AI20,2)="이동",VLOOKUP($AK20,EF_Combustion_mobile,12,0),VLOOKUP($AK20,EF_Indirect,12,0))),"Tier3"),""),0)</f>
        <v/>
      </c>
      <c r="AT20" s="228"/>
      <c r="AU20" s="229" t="str">
        <f>IFERROR(IF($AI20&lt;&gt;"",IF($AJ20&lt;3,IF(RIGHT($AI20,4)="연료연소",IFERROR(VLOOKUP($AK20,IF($AJ20=1,EF_Combustion1,EF_Combustion2),11,0),VLOOKUP(VLOOKUP($AK20,재분류,2,0),IF($AJ20=1,EF_Combustion1,EF_Combustion2),11,0)),IF(LEFT($AI20,2)="이동",VLOOKUP($AK20,EF_Combustion_mobile,11,0),VLOOKUP($AK20,EF_Indirect,11,0))),"Tier3"),""),0)</f>
        <v/>
      </c>
      <c r="AV20" s="230" t="str">
        <f>IFERROR(IF($AI20&lt;&gt;"",IF($AJ20&lt;3,IF(RIGHT($AI20,4)="연료연소",IFERROR(VLOOKUP($AK20,IF($AJ20=1,EF_Combustion1,EF_Combustion2),12+VLOOKUP(적용업종,업종분류,2,0),0),VLOOKUP(VLOOKUP($AK20,재분류,2,0),IF($AJ20=1,EF_Combustion1,EF_Combustion2),12+VLOOKUP(적용업종,업종분류,2,0),0)),IF(LEFT($AI20,2)="이동",VLOOKUP($AK20,EF_Combustion_mobile,12+VLOOKUP(적용업종,업종분류,2,0),0),VLOOKUP($AK20,EF_Indirect,12+VLOOKUP(적용업종,업종분류,2,0),0))),"Tier3"),""),0)</f>
        <v/>
      </c>
      <c r="AW20" s="230"/>
      <c r="AX20" s="229" t="str">
        <f t="shared" si="7"/>
        <v/>
      </c>
      <c r="AY20" s="230" t="str">
        <f>IFERROR(IF($AI20&lt;&gt;"",IF($AJ20&lt;3,IF(RIGHT($AI20,4)="연료연소",IFERROR(VLOOKUP($AK20,IF($AJ20=1,EF_Combustion1,EF_Combustion2),16+VLOOKUP(적용업종,업종분류,3,0),0),VLOOKUP(VLOOKUP($AK20,재분류,2,0),IF($AJ20=1,EF_Combustion1,EF_Combustion2),16+VLOOKUP(적용업종,업종분류,3,0),0)),IF(LEFT($AI20,2)="이동",VLOOKUP($AK20,EF_Combustion_mobile,16+VLOOKUP(적용업종,업종분류,3,0),0),VLOOKUP($AK20,EF_Indirect,16+VLOOKUP(적용업종,업종분류,3,0),0))),"Tier3"),""),0)</f>
        <v/>
      </c>
      <c r="AZ20" s="230"/>
      <c r="BA20" s="225" t="str">
        <f t="shared" si="8"/>
        <v/>
      </c>
      <c r="BB20" s="190" t="str">
        <f t="shared" si="9"/>
        <v/>
      </c>
      <c r="BN20" s="62" t="s">
        <v>222</v>
      </c>
      <c r="BO20" s="595"/>
      <c r="BP20" s="91" t="s">
        <v>204</v>
      </c>
      <c r="BQ20" s="91" t="s">
        <v>281</v>
      </c>
      <c r="BR20" s="91" t="s">
        <v>276</v>
      </c>
      <c r="BS20" s="91"/>
      <c r="BT20" s="91"/>
      <c r="BU20" s="91"/>
      <c r="BV20" s="91"/>
      <c r="BW20" s="91"/>
      <c r="BX20" s="91" t="s">
        <v>240</v>
      </c>
      <c r="BY20" s="91">
        <v>55.38</v>
      </c>
      <c r="BZ20" s="91">
        <v>50.4</v>
      </c>
      <c r="CA20" s="91" t="s">
        <v>207</v>
      </c>
      <c r="CB20" s="92">
        <v>54600</v>
      </c>
      <c r="CC20" s="91">
        <v>1</v>
      </c>
      <c r="CD20" s="91">
        <v>1</v>
      </c>
      <c r="CE20" s="91">
        <v>5</v>
      </c>
      <c r="CF20" s="91">
        <v>5</v>
      </c>
      <c r="CG20" s="91">
        <v>0.1</v>
      </c>
      <c r="CH20" s="91">
        <v>0.1</v>
      </c>
      <c r="CI20" s="4" t="s">
        <v>277</v>
      </c>
      <c r="CJ20" s="4" t="s">
        <v>278</v>
      </c>
      <c r="CK20"/>
      <c r="CL20"/>
      <c r="CM20"/>
      <c r="CN20"/>
      <c r="CO20"/>
      <c r="CP20" s="93" t="s">
        <v>282</v>
      </c>
      <c r="CQ20" s="101"/>
      <c r="CR20"/>
      <c r="CS20"/>
      <c r="CT20"/>
      <c r="CU20"/>
      <c r="CV20" s="4" t="s">
        <v>283</v>
      </c>
      <c r="CW20" s="4" t="s">
        <v>211</v>
      </c>
      <c r="CX20" s="4" t="s">
        <v>273</v>
      </c>
      <c r="CY20" s="4"/>
      <c r="CZ20" s="95"/>
      <c r="DA20"/>
    </row>
    <row r="21" spans="2:107" ht="15" customHeight="1">
      <c r="B21" s="573" t="s">
        <v>664</v>
      </c>
      <c r="C21" s="574"/>
      <c r="D21" s="574"/>
      <c r="E21" s="574"/>
      <c r="F21" s="574"/>
      <c r="G21" s="574"/>
      <c r="H21" s="574"/>
      <c r="I21" s="575"/>
      <c r="J21"/>
      <c r="K21"/>
      <c r="L21" s="211">
        <v>1</v>
      </c>
      <c r="M21" s="173">
        <f t="shared" si="17"/>
        <v>0</v>
      </c>
      <c r="N21" s="173">
        <f t="shared" si="18"/>
        <v>0</v>
      </c>
      <c r="O21" s="207"/>
      <c r="P21" s="207"/>
      <c r="Q21" s="207"/>
      <c r="R21" s="207"/>
      <c r="S21" s="209"/>
      <c r="T21" s="264"/>
      <c r="U21" s="187" t="str">
        <f t="shared" si="2"/>
        <v/>
      </c>
      <c r="V21" s="188" t="str">
        <f>IFERROR(IF($O21&lt;&gt;"",IF($P21&lt;3,IF(RIGHT($O21,4)="연료연소",IFERROR(VLOOKUP($Q21,IF($P21=1,EF_Combustion1,EF_Combustion2),10,0),VLOOKUP(VLOOKUP($Q21,재분류,2,0),IF($P21=1,EF_Combustion1,EF_Combustion2),10,0)),IF(LEFT($O21,2)="이동",VLOOKUP($Q21,EF_Combustion_mobile,10,0),VLOOKUP($Q21,EF_Indirect,10,0))),"Tier3"),""),0)</f>
        <v/>
      </c>
      <c r="W21" s="226"/>
      <c r="X21" s="227" t="str">
        <f>IFERROR(IF($O21&lt;&gt;"",IF($P21&lt;3,IF(RIGHT($O21,4)="연료연소",IFERROR(VLOOKUP($Q21,IF($P21=1,EF_Combustion1,EF_Combustion2),8,0),VLOOKUP(VLOOKUP($Q21,재분류,2,0),IF($P21=1,EF_Combustion1,EF_Combustion2),8,0)),IF(LEFT($O21,2)="이동",VLOOKUP($Q21,EF_Combustion_mobile,8,0),VLOOKUP($Q21,EF_Indirect,8,0))),"Tier3"),""),0)</f>
        <v/>
      </c>
      <c r="Y21" s="228" t="str">
        <f>IFERROR(IF($O21&lt;&gt;"",IF($P21&lt;3,IF(RIGHT($O21,4)="연료연소",IFERROR(VLOOKUP($Q21,IF($P21=1,EF_Combustion1,EF_Combustion2),12,0),VLOOKUP(VLOOKUP($Q21,재분류,2,0),IF($P21=1,EF_Combustion1,EF_Combustion2),12,0)),IF(LEFT($O21,2)="이동",VLOOKUP($Q21,EF_Combustion_mobile,12,0),VLOOKUP($Q21,EF_Indirect,12,0))),"Tier3"),""),0)</f>
        <v/>
      </c>
      <c r="Z21" s="228"/>
      <c r="AA21" s="229" t="str">
        <f>IFERROR(IF($O21&lt;&gt;"",IF($P21&lt;3,IF(RIGHT($O21,4)="연료연소",IFERROR(VLOOKUP($Q21,IF($P21=1,EF_Combustion1,EF_Combustion2),11,0),VLOOKUP(VLOOKUP($Q21,재분류,2,0),IF($P21=1,EF_Combustion1,EF_Combustion2),11,0)),IF(LEFT($O21,2)="이동",VLOOKUP($Q21,EF_Combustion_mobile,11,0),VLOOKUP($Q21,EF_Indirect,11,0))),"Tier3"),""),0)</f>
        <v/>
      </c>
      <c r="AB21" s="230" t="str">
        <f>IFERROR(IF($O21&lt;&gt;"",IF($P21&lt;3,IF(RIGHT($O21,4)="연료연소",IFERROR(VLOOKUP($Q21,IF($P21=1,EF_Combustion1,EF_Combustion2),12+VLOOKUP(적용업종,업종분류,2,0),0),VLOOKUP(VLOOKUP($Q21,재분류,2,0),IF($P21=1,EF_Combustion1,EF_Combustion2),12+VLOOKUP(적용업종,업종분류,2,0),0)),IF(LEFT($O21,2)="이동",VLOOKUP($Q21,EF_Combustion_mobile,12+VLOOKUP(적용업종,업종분류,2,0),0),VLOOKUP($Q21,EF_Indirect,12+VLOOKUP(적용업종,업종분류,2,0),0))),"Tier3"),""),0)</f>
        <v/>
      </c>
      <c r="AC21" s="230"/>
      <c r="AD21" s="229" t="str">
        <f t="shared" si="3"/>
        <v/>
      </c>
      <c r="AE21" s="230" t="str">
        <f>IFERROR(IF($O21&lt;&gt;"",IF($P21&lt;3,IF(RIGHT($O21,4)="연료연소",IFERROR(VLOOKUP($Q21,IF($P21=1,EF_Combustion1,EF_Combustion2),16+VLOOKUP(적용업종,업종분류,3,0),0),VLOOKUP(VLOOKUP($Q21,재분류,2,0),IF($P21=1,EF_Combustion1,EF_Combustion2),16+VLOOKUP(적용업종,업종분류,3,0),0)),IF(LEFT($O21,2)="이동",VLOOKUP($Q21,EF_Combustion_mobile,16+VLOOKUP(적용업종,업종분류,3,0),0),VLOOKUP($Q21,EF_Indirect,16+VLOOKUP(적용업종,업종분류,3,0),0))),"Tier3"),""),0)</f>
        <v/>
      </c>
      <c r="AF21" s="230"/>
      <c r="AG21" s="225" t="str">
        <f t="shared" si="4"/>
        <v/>
      </c>
      <c r="AH21" s="189" t="str">
        <f t="shared" si="5"/>
        <v/>
      </c>
      <c r="AI21" s="210"/>
      <c r="AJ21" s="207"/>
      <c r="AK21" s="207"/>
      <c r="AL21" s="207"/>
      <c r="AM21" s="209"/>
      <c r="AN21" s="264"/>
      <c r="AO21" s="187" t="str">
        <f t="shared" si="6"/>
        <v/>
      </c>
      <c r="AP21" s="188" t="str">
        <f>IFERROR(IF($AI21&lt;&gt;"",IF($AJ21&lt;3,IF(RIGHT($AI21,4)="연료연소",IFERROR(VLOOKUP($AK21,IF($AJ21=1,EF_Combustion1,EF_Combustion2),10,0),VLOOKUP(VLOOKUP($AK21,재분류,2,0),IF($AJ21=1,EF_Combustion1,EF_Combustion2),10,0)),IF(LEFT($AI21,2)="이동",VLOOKUP($AK21,EF_Combustion_mobile,10,0),VLOOKUP($AK21,EF_Indirect,10,0))),"Tier3"),""),0)</f>
        <v/>
      </c>
      <c r="AQ21" s="226"/>
      <c r="AR21" s="227" t="str">
        <f>IFERROR(IF($AI21&lt;&gt;"",IF($AJ21&lt;3,IF(RIGHT($AI21,4)="연료연소",IFERROR(VLOOKUP($AK21,IF($AJ21=1,EF_Combustion1,EF_Combustion2),8,0),VLOOKUP(VLOOKUP($AK21,재분류,2,0),IF($AJ21=1,EF_Combustion1,EF_Combustion2),8,0)),IF(LEFT($AI21,2)="이동",VLOOKUP($AK21,EF_Combustion_mobile,8,0),VLOOKUP($AK21,EF_Indirect,8,0))),"Tier3"),""),0)</f>
        <v/>
      </c>
      <c r="AS21" s="228" t="str">
        <f>IFERROR(IF($AI21&lt;&gt;"",IF($AJ21&lt;3,IF(RIGHT($AI21,4)="연료연소",IFERROR(VLOOKUP($AK21,IF($AJ21=1,EF_Combustion1,EF_Combustion2),12,0),VLOOKUP(VLOOKUP($AK21,재분류,2,0),IF($AJ21=1,EF_Combustion1,EF_Combustion2),12,0)),IF(LEFT($AI21,2)="이동",VLOOKUP($AK21,EF_Combustion_mobile,12,0),VLOOKUP($AK21,EF_Indirect,12,0))),"Tier3"),""),0)</f>
        <v/>
      </c>
      <c r="AT21" s="228"/>
      <c r="AU21" s="229" t="str">
        <f>IFERROR(IF($AI21&lt;&gt;"",IF($AJ21&lt;3,IF(RIGHT($AI21,4)="연료연소",IFERROR(VLOOKUP($AK21,IF($AJ21=1,EF_Combustion1,EF_Combustion2),11,0),VLOOKUP(VLOOKUP($AK21,재분류,2,0),IF($AJ21=1,EF_Combustion1,EF_Combustion2),11,0)),IF(LEFT($AI21,2)="이동",VLOOKUP($AK21,EF_Combustion_mobile,11,0),VLOOKUP($AK21,EF_Indirect,11,0))),"Tier3"),""),0)</f>
        <v/>
      </c>
      <c r="AV21" s="230" t="str">
        <f>IFERROR(IF($AI21&lt;&gt;"",IF($AJ21&lt;3,IF(RIGHT($AI21,4)="연료연소",IFERROR(VLOOKUP($AK21,IF($AJ21=1,EF_Combustion1,EF_Combustion2),12+VLOOKUP(적용업종,업종분류,2,0),0),VLOOKUP(VLOOKUP($AK21,재분류,2,0),IF($AJ21=1,EF_Combustion1,EF_Combustion2),12+VLOOKUP(적용업종,업종분류,2,0),0)),IF(LEFT($AI21,2)="이동",VLOOKUP($AK21,EF_Combustion_mobile,12+VLOOKUP(적용업종,업종분류,2,0),0),VLOOKUP($AK21,EF_Indirect,12+VLOOKUP(적용업종,업종분류,2,0),0))),"Tier3"),""),0)</f>
        <v/>
      </c>
      <c r="AW21" s="230"/>
      <c r="AX21" s="229" t="str">
        <f t="shared" si="7"/>
        <v/>
      </c>
      <c r="AY21" s="230" t="str">
        <f>IFERROR(IF($AI21&lt;&gt;"",IF($AJ21&lt;3,IF(RIGHT($AI21,4)="연료연소",IFERROR(VLOOKUP($AK21,IF($AJ21=1,EF_Combustion1,EF_Combustion2),16+VLOOKUP(적용업종,업종분류,3,0),0),VLOOKUP(VLOOKUP($AK21,재분류,2,0),IF($AJ21=1,EF_Combustion1,EF_Combustion2),16+VLOOKUP(적용업종,업종분류,3,0),0)),IF(LEFT($AI21,2)="이동",VLOOKUP($AK21,EF_Combustion_mobile,16+VLOOKUP(적용업종,업종분류,3,0),0),VLOOKUP($AK21,EF_Indirect,16+VLOOKUP(적용업종,업종분류,3,0),0))),"Tier3"),""),0)</f>
        <v/>
      </c>
      <c r="AZ21" s="230"/>
      <c r="BA21" s="225" t="str">
        <f t="shared" si="8"/>
        <v/>
      </c>
      <c r="BB21" s="190" t="str">
        <f t="shared" si="9"/>
        <v/>
      </c>
      <c r="BN21" s="62" t="s">
        <v>202</v>
      </c>
      <c r="BO21" s="595"/>
      <c r="BP21" s="91" t="s">
        <v>204</v>
      </c>
      <c r="BQ21" s="91" t="s">
        <v>284</v>
      </c>
      <c r="BR21" s="91" t="s">
        <v>284</v>
      </c>
      <c r="BS21" s="91"/>
      <c r="BT21" s="91"/>
      <c r="BU21" s="91"/>
      <c r="BV21" s="91"/>
      <c r="BW21" s="91"/>
      <c r="BX21" s="91" t="s">
        <v>240</v>
      </c>
      <c r="BY21" s="91">
        <v>29.15</v>
      </c>
      <c r="BZ21" s="91">
        <v>27.4</v>
      </c>
      <c r="CA21" s="91" t="s">
        <v>207</v>
      </c>
      <c r="CB21" s="92">
        <v>79600</v>
      </c>
      <c r="CC21" s="91">
        <v>3</v>
      </c>
      <c r="CD21" s="91">
        <v>3</v>
      </c>
      <c r="CE21" s="91">
        <v>10</v>
      </c>
      <c r="CF21" s="91">
        <v>10</v>
      </c>
      <c r="CG21" s="91">
        <v>0.6</v>
      </c>
      <c r="CH21" s="91">
        <v>0.6</v>
      </c>
      <c r="CI21" s="4" t="s">
        <v>285</v>
      </c>
      <c r="CJ21" s="4" t="s">
        <v>286</v>
      </c>
      <c r="CK21"/>
      <c r="CL21"/>
      <c r="CM21"/>
      <c r="CN21"/>
      <c r="CO21"/>
      <c r="CP21" s="93" t="s">
        <v>287</v>
      </c>
      <c r="CQ21" s="101">
        <v>23900</v>
      </c>
      <c r="CR21"/>
      <c r="CS21"/>
      <c r="CT21"/>
      <c r="CU21"/>
      <c r="CV21" s="4" t="s">
        <v>288</v>
      </c>
      <c r="CW21" s="4"/>
      <c r="CX21" s="4" t="s">
        <v>289</v>
      </c>
      <c r="CY21" s="4"/>
      <c r="CZ21" s="95"/>
      <c r="DA21"/>
    </row>
    <row r="22" spans="2:107" ht="15" customHeight="1">
      <c r="B22" s="576"/>
      <c r="C22" s="577"/>
      <c r="D22" s="577"/>
      <c r="E22" s="577"/>
      <c r="F22" s="577"/>
      <c r="G22" s="577"/>
      <c r="H22" s="577"/>
      <c r="I22" s="578"/>
      <c r="J22"/>
      <c r="K22"/>
      <c r="L22" s="211">
        <v>1</v>
      </c>
      <c r="M22" s="173">
        <f t="shared" si="17"/>
        <v>0</v>
      </c>
      <c r="N22" s="173">
        <f t="shared" si="18"/>
        <v>0</v>
      </c>
      <c r="O22" s="207"/>
      <c r="P22" s="207"/>
      <c r="Q22" s="207"/>
      <c r="R22" s="207"/>
      <c r="S22" s="209"/>
      <c r="T22" s="264"/>
      <c r="U22" s="187" t="str">
        <f t="shared" si="2"/>
        <v/>
      </c>
      <c r="V22" s="188" t="str">
        <f>IFERROR(IF($O22&lt;&gt;"",IF($P22&lt;3,IF(RIGHT($O22,4)="연료연소",IFERROR(VLOOKUP($Q22,IF($P22=1,EF_Combustion1,EF_Combustion2),10,0),VLOOKUP(VLOOKUP($Q22,재분류,2,0),IF($P22=1,EF_Combustion1,EF_Combustion2),10,0)),IF(LEFT($O22,2)="이동",VLOOKUP($Q22,EF_Combustion_mobile,10,0),VLOOKUP($Q22,EF_Indirect,10,0))),"Tier3"),""),0)</f>
        <v/>
      </c>
      <c r="W22" s="226"/>
      <c r="X22" s="227" t="str">
        <f>IFERROR(IF($O22&lt;&gt;"",IF($P22&lt;3,IF(RIGHT($O22,4)="연료연소",IFERROR(VLOOKUP($Q22,IF($P22=1,EF_Combustion1,EF_Combustion2),8,0),VLOOKUP(VLOOKUP($Q22,재분류,2,0),IF($P22=1,EF_Combustion1,EF_Combustion2),8,0)),IF(LEFT($O22,2)="이동",VLOOKUP($Q22,EF_Combustion_mobile,8,0),VLOOKUP($Q22,EF_Indirect,8,0))),"Tier3"),""),0)</f>
        <v/>
      </c>
      <c r="Y22" s="228" t="str">
        <f>IFERROR(IF($O22&lt;&gt;"",IF($P22&lt;3,IF(RIGHT($O22,4)="연료연소",IFERROR(VLOOKUP($Q22,IF($P22=1,EF_Combustion1,EF_Combustion2),12,0),VLOOKUP(VLOOKUP($Q22,재분류,2,0),IF($P22=1,EF_Combustion1,EF_Combustion2),12,0)),IF(LEFT($O22,2)="이동",VLOOKUP($Q22,EF_Combustion_mobile,12,0),VLOOKUP($Q22,EF_Indirect,12,0))),"Tier3"),""),0)</f>
        <v/>
      </c>
      <c r="Z22" s="228"/>
      <c r="AA22" s="229" t="str">
        <f>IFERROR(IF($O22&lt;&gt;"",IF($P22&lt;3,IF(RIGHT($O22,4)="연료연소",IFERROR(VLOOKUP($Q22,IF($P22=1,EF_Combustion1,EF_Combustion2),11,0),VLOOKUP(VLOOKUP($Q22,재분류,2,0),IF($P22=1,EF_Combustion1,EF_Combustion2),11,0)),IF(LEFT($O22,2)="이동",VLOOKUP($Q22,EF_Combustion_mobile,11,0),VLOOKUP($Q22,EF_Indirect,11,0))),"Tier3"),""),0)</f>
        <v/>
      </c>
      <c r="AB22" s="230" t="str">
        <f>IFERROR(IF($O22&lt;&gt;"",IF($P22&lt;3,IF(RIGHT($O22,4)="연료연소",IFERROR(VLOOKUP($Q22,IF($P22=1,EF_Combustion1,EF_Combustion2),12+VLOOKUP(적용업종,업종분류,2,0),0),VLOOKUP(VLOOKUP($Q22,재분류,2,0),IF($P22=1,EF_Combustion1,EF_Combustion2),12+VLOOKUP(적용업종,업종분류,2,0),0)),IF(LEFT($O22,2)="이동",VLOOKUP($Q22,EF_Combustion_mobile,12+VLOOKUP(적용업종,업종분류,2,0),0),VLOOKUP($Q22,EF_Indirect,12+VLOOKUP(적용업종,업종분류,2,0),0))),"Tier3"),""),0)</f>
        <v/>
      </c>
      <c r="AC22" s="230"/>
      <c r="AD22" s="229" t="str">
        <f t="shared" si="3"/>
        <v/>
      </c>
      <c r="AE22" s="230" t="str">
        <f>IFERROR(IF($O22&lt;&gt;"",IF($P22&lt;3,IF(RIGHT($O22,4)="연료연소",IFERROR(VLOOKUP($Q22,IF($P22=1,EF_Combustion1,EF_Combustion2),16+VLOOKUP(적용업종,업종분류,3,0),0),VLOOKUP(VLOOKUP($Q22,재분류,2,0),IF($P22=1,EF_Combustion1,EF_Combustion2),16+VLOOKUP(적용업종,업종분류,3,0),0)),IF(LEFT($O22,2)="이동",VLOOKUP($Q22,EF_Combustion_mobile,16+VLOOKUP(적용업종,업종분류,3,0),0),VLOOKUP($Q22,EF_Indirect,16+VLOOKUP(적용업종,업종분류,3,0),0))),"Tier3"),""),0)</f>
        <v/>
      </c>
      <c r="AF22" s="230"/>
      <c r="AG22" s="225" t="str">
        <f t="shared" si="4"/>
        <v/>
      </c>
      <c r="AH22" s="189" t="str">
        <f t="shared" si="5"/>
        <v/>
      </c>
      <c r="AI22" s="210"/>
      <c r="AJ22" s="207"/>
      <c r="AK22" s="207"/>
      <c r="AL22" s="207"/>
      <c r="AM22" s="209"/>
      <c r="AN22" s="264"/>
      <c r="AO22" s="187" t="str">
        <f t="shared" si="6"/>
        <v/>
      </c>
      <c r="AP22" s="188" t="str">
        <f>IFERROR(IF($AI22&lt;&gt;"",IF($AJ22&lt;3,IF(RIGHT($AI22,4)="연료연소",IFERROR(VLOOKUP($AK22,IF($AJ22=1,EF_Combustion1,EF_Combustion2),10,0),VLOOKUP(VLOOKUP($AK22,재분류,2,0),IF($AJ22=1,EF_Combustion1,EF_Combustion2),10,0)),IF(LEFT($AI22,2)="이동",VLOOKUP($AK22,EF_Combustion_mobile,10,0),VLOOKUP($AK22,EF_Indirect,10,0))),"Tier3"),""),0)</f>
        <v/>
      </c>
      <c r="AQ22" s="226"/>
      <c r="AR22" s="227" t="str">
        <f>IFERROR(IF($AI22&lt;&gt;"",IF($AJ22&lt;3,IF(RIGHT($AI22,4)="연료연소",IFERROR(VLOOKUP($AK22,IF($AJ22=1,EF_Combustion1,EF_Combustion2),8,0),VLOOKUP(VLOOKUP($AK22,재분류,2,0),IF($AJ22=1,EF_Combustion1,EF_Combustion2),8,0)),IF(LEFT($AI22,2)="이동",VLOOKUP($AK22,EF_Combustion_mobile,8,0),VLOOKUP($AK22,EF_Indirect,8,0))),"Tier3"),""),0)</f>
        <v/>
      </c>
      <c r="AS22" s="228" t="str">
        <f>IFERROR(IF($AI22&lt;&gt;"",IF($AJ22&lt;3,IF(RIGHT($AI22,4)="연료연소",IFERROR(VLOOKUP($AK22,IF($AJ22=1,EF_Combustion1,EF_Combustion2),12,0),VLOOKUP(VLOOKUP($AK22,재분류,2,0),IF($AJ22=1,EF_Combustion1,EF_Combustion2),12,0)),IF(LEFT($AI22,2)="이동",VLOOKUP($AK22,EF_Combustion_mobile,12,0),VLOOKUP($AK22,EF_Indirect,12,0))),"Tier3"),""),0)</f>
        <v/>
      </c>
      <c r="AT22" s="228"/>
      <c r="AU22" s="229" t="str">
        <f>IFERROR(IF($AI22&lt;&gt;"",IF($AJ22&lt;3,IF(RIGHT($AI22,4)="연료연소",IFERROR(VLOOKUP($AK22,IF($AJ22=1,EF_Combustion1,EF_Combustion2),11,0),VLOOKUP(VLOOKUP($AK22,재분류,2,0),IF($AJ22=1,EF_Combustion1,EF_Combustion2),11,0)),IF(LEFT($AI22,2)="이동",VLOOKUP($AK22,EF_Combustion_mobile,11,0),VLOOKUP($AK22,EF_Indirect,11,0))),"Tier3"),""),0)</f>
        <v/>
      </c>
      <c r="AV22" s="230" t="str">
        <f>IFERROR(IF($AI22&lt;&gt;"",IF($AJ22&lt;3,IF(RIGHT($AI22,4)="연료연소",IFERROR(VLOOKUP($AK22,IF($AJ22=1,EF_Combustion1,EF_Combustion2),12+VLOOKUP(적용업종,업종분류,2,0),0),VLOOKUP(VLOOKUP($AK22,재분류,2,0),IF($AJ22=1,EF_Combustion1,EF_Combustion2),12+VLOOKUP(적용업종,업종분류,2,0),0)),IF(LEFT($AI22,2)="이동",VLOOKUP($AK22,EF_Combustion_mobile,12+VLOOKUP(적용업종,업종분류,2,0),0),VLOOKUP($AK22,EF_Indirect,12+VLOOKUP(적용업종,업종분류,2,0),0))),"Tier3"),""),0)</f>
        <v/>
      </c>
      <c r="AW22" s="230"/>
      <c r="AX22" s="229" t="str">
        <f t="shared" si="7"/>
        <v/>
      </c>
      <c r="AY22" s="230" t="str">
        <f>IFERROR(IF($AI22&lt;&gt;"",IF($AJ22&lt;3,IF(RIGHT($AI22,4)="연료연소",IFERROR(VLOOKUP($AK22,IF($AJ22=1,EF_Combustion1,EF_Combustion2),16+VLOOKUP(적용업종,업종분류,3,0),0),VLOOKUP(VLOOKUP($AK22,재분류,2,0),IF($AJ22=1,EF_Combustion1,EF_Combustion2),16+VLOOKUP(적용업종,업종분류,3,0),0)),IF(LEFT($AI22,2)="이동",VLOOKUP($AK22,EF_Combustion_mobile,16+VLOOKUP(적용업종,업종분류,3,0),0),VLOOKUP($AK22,EF_Indirect,16+VLOOKUP(적용업종,업종분류,3,0),0))),"Tier3"),""),0)</f>
        <v/>
      </c>
      <c r="AZ22" s="230"/>
      <c r="BA22" s="225" t="str">
        <f t="shared" si="8"/>
        <v/>
      </c>
      <c r="BB22" s="190" t="str">
        <f t="shared" si="9"/>
        <v/>
      </c>
      <c r="BN22" s="62" t="s">
        <v>202</v>
      </c>
      <c r="BO22" s="595"/>
      <c r="BP22" s="91" t="s">
        <v>204</v>
      </c>
      <c r="BQ22" s="91" t="s">
        <v>290</v>
      </c>
      <c r="BR22" s="91" t="s">
        <v>291</v>
      </c>
      <c r="BS22" s="91"/>
      <c r="BT22" s="91"/>
      <c r="BU22" s="91"/>
      <c r="BV22" s="91"/>
      <c r="BW22" s="91"/>
      <c r="BX22" s="91" t="s">
        <v>240</v>
      </c>
      <c r="BY22" s="91">
        <v>42.77</v>
      </c>
      <c r="BZ22" s="91">
        <v>40.200000000000003</v>
      </c>
      <c r="CA22" s="91" t="s">
        <v>207</v>
      </c>
      <c r="CB22" s="92">
        <v>73300</v>
      </c>
      <c r="CC22" s="91">
        <v>3</v>
      </c>
      <c r="CD22" s="91">
        <v>3</v>
      </c>
      <c r="CE22" s="91">
        <v>10</v>
      </c>
      <c r="CF22" s="91">
        <v>10</v>
      </c>
      <c r="CG22" s="91">
        <v>0.6</v>
      </c>
      <c r="CH22" s="91">
        <v>0.6</v>
      </c>
      <c r="CI22" s="4" t="s">
        <v>292</v>
      </c>
      <c r="CJ22" s="4" t="s">
        <v>293</v>
      </c>
      <c r="CK22"/>
      <c r="CL22"/>
      <c r="CM22"/>
      <c r="CN22"/>
      <c r="CO22"/>
      <c r="CP22"/>
      <c r="CQ22"/>
      <c r="CR22"/>
      <c r="CS22"/>
      <c r="CT22"/>
      <c r="CU22"/>
      <c r="CV22" s="4" t="s">
        <v>294</v>
      </c>
      <c r="CW22" s="4"/>
      <c r="CX22" s="4" t="s">
        <v>289</v>
      </c>
      <c r="CY22" s="4"/>
      <c r="CZ22" s="95"/>
      <c r="DA22"/>
    </row>
    <row r="23" spans="2:107">
      <c r="B23" s="576"/>
      <c r="C23" s="577"/>
      <c r="D23" s="577"/>
      <c r="E23" s="577"/>
      <c r="F23" s="577"/>
      <c r="G23" s="577"/>
      <c r="H23" s="577"/>
      <c r="I23" s="578"/>
      <c r="L23" s="211">
        <v>1</v>
      </c>
      <c r="M23" s="173">
        <f t="shared" si="17"/>
        <v>0</v>
      </c>
      <c r="N23" s="173">
        <f t="shared" si="18"/>
        <v>0</v>
      </c>
      <c r="O23" s="207"/>
      <c r="P23" s="207"/>
      <c r="Q23" s="207"/>
      <c r="R23" s="207"/>
      <c r="S23" s="209"/>
      <c r="T23" s="264"/>
      <c r="U23" s="187" t="str">
        <f t="shared" si="2"/>
        <v/>
      </c>
      <c r="V23" s="188" t="str">
        <f>IFERROR(IF($O23&lt;&gt;"",IF($P23&lt;3,IF(RIGHT($O23,4)="연료연소",IFERROR(VLOOKUP($Q23,IF($P23=1,EF_Combustion1,EF_Combustion2),10,0),VLOOKUP(VLOOKUP($Q23,재분류,2,0),IF($P23=1,EF_Combustion1,EF_Combustion2),10,0)),IF(LEFT($O23,2)="이동",VLOOKUP($Q23,EF_Combustion_mobile,10,0),VLOOKUP($Q23,EF_Indirect,10,0))),"Tier3"),""),0)</f>
        <v/>
      </c>
      <c r="W23" s="226"/>
      <c r="X23" s="227" t="str">
        <f>IFERROR(IF($O23&lt;&gt;"",IF($P23&lt;3,IF(RIGHT($O23,4)="연료연소",IFERROR(VLOOKUP($Q23,IF($P23=1,EF_Combustion1,EF_Combustion2),8,0),VLOOKUP(VLOOKUP($Q23,재분류,2,0),IF($P23=1,EF_Combustion1,EF_Combustion2),8,0)),IF(LEFT($O23,2)="이동",VLOOKUP($Q23,EF_Combustion_mobile,8,0),VLOOKUP($Q23,EF_Indirect,8,0))),"Tier3"),""),0)</f>
        <v/>
      </c>
      <c r="Y23" s="228" t="str">
        <f>IFERROR(IF($O23&lt;&gt;"",IF($P23&lt;3,IF(RIGHT($O23,4)="연료연소",IFERROR(VLOOKUP($Q23,IF($P23=1,EF_Combustion1,EF_Combustion2),12,0),VLOOKUP(VLOOKUP($Q23,재분류,2,0),IF($P23=1,EF_Combustion1,EF_Combustion2),12,0)),IF(LEFT($O23,2)="이동",VLOOKUP($Q23,EF_Combustion_mobile,12,0),VLOOKUP($Q23,EF_Indirect,12,0))),"Tier3"),""),0)</f>
        <v/>
      </c>
      <c r="Z23" s="228"/>
      <c r="AA23" s="229" t="str">
        <f>IFERROR(IF($O23&lt;&gt;"",IF($P23&lt;3,IF(RIGHT($O23,4)="연료연소",IFERROR(VLOOKUP($Q23,IF($P23=1,EF_Combustion1,EF_Combustion2),11,0),VLOOKUP(VLOOKUP($Q23,재분류,2,0),IF($P23=1,EF_Combustion1,EF_Combustion2),11,0)),IF(LEFT($O23,2)="이동",VLOOKUP($Q23,EF_Combustion_mobile,11,0),VLOOKUP($Q23,EF_Indirect,11,0))),"Tier3"),""),0)</f>
        <v/>
      </c>
      <c r="AB23" s="230" t="str">
        <f>IFERROR(IF($O23&lt;&gt;"",IF($P23&lt;3,IF(RIGHT($O23,4)="연료연소",IFERROR(VLOOKUP($Q23,IF($P23=1,EF_Combustion1,EF_Combustion2),12+VLOOKUP(적용업종,업종분류,2,0),0),VLOOKUP(VLOOKUP($Q23,재분류,2,0),IF($P23=1,EF_Combustion1,EF_Combustion2),12+VLOOKUP(적용업종,업종분류,2,0),0)),IF(LEFT($O23,2)="이동",VLOOKUP($Q23,EF_Combustion_mobile,12+VLOOKUP(적용업종,업종분류,2,0),0),VLOOKUP($Q23,EF_Indirect,12+VLOOKUP(적용업종,업종분류,2,0),0))),"Tier3"),""),0)</f>
        <v/>
      </c>
      <c r="AC23" s="230"/>
      <c r="AD23" s="229" t="str">
        <f t="shared" si="3"/>
        <v/>
      </c>
      <c r="AE23" s="230" t="str">
        <f>IFERROR(IF($O23&lt;&gt;"",IF($P23&lt;3,IF(RIGHT($O23,4)="연료연소",IFERROR(VLOOKUP($Q23,IF($P23=1,EF_Combustion1,EF_Combustion2),16+VLOOKUP(적용업종,업종분류,3,0),0),VLOOKUP(VLOOKUP($Q23,재분류,2,0),IF($P23=1,EF_Combustion1,EF_Combustion2),16+VLOOKUP(적용업종,업종분류,3,0),0)),IF(LEFT($O23,2)="이동",VLOOKUP($Q23,EF_Combustion_mobile,16+VLOOKUP(적용업종,업종분류,3,0),0),VLOOKUP($Q23,EF_Indirect,16+VLOOKUP(적용업종,업종분류,3,0),0))),"Tier3"),""),0)</f>
        <v/>
      </c>
      <c r="AF23" s="230"/>
      <c r="AG23" s="225" t="str">
        <f t="shared" si="4"/>
        <v/>
      </c>
      <c r="AH23" s="189" t="str">
        <f t="shared" si="5"/>
        <v/>
      </c>
      <c r="AI23" s="210"/>
      <c r="AJ23" s="207"/>
      <c r="AK23" s="207"/>
      <c r="AL23" s="207"/>
      <c r="AM23" s="209"/>
      <c r="AN23" s="264"/>
      <c r="AO23" s="187" t="str">
        <f t="shared" si="6"/>
        <v/>
      </c>
      <c r="AP23" s="188" t="str">
        <f>IFERROR(IF($AI23&lt;&gt;"",IF($AJ23&lt;3,IF(RIGHT($AI23,4)="연료연소",IFERROR(VLOOKUP($AK23,IF($AJ23=1,EF_Combustion1,EF_Combustion2),10,0),VLOOKUP(VLOOKUP($AK23,재분류,2,0),IF($AJ23=1,EF_Combustion1,EF_Combustion2),10,0)),IF(LEFT($AI23,2)="이동",VLOOKUP($AK23,EF_Combustion_mobile,10,0),VLOOKUP($AK23,EF_Indirect,10,0))),"Tier3"),""),0)</f>
        <v/>
      </c>
      <c r="AQ23" s="226"/>
      <c r="AR23" s="227" t="str">
        <f>IFERROR(IF($AI23&lt;&gt;"",IF($AJ23&lt;3,IF(RIGHT($AI23,4)="연료연소",IFERROR(VLOOKUP($AK23,IF($AJ23=1,EF_Combustion1,EF_Combustion2),8,0),VLOOKUP(VLOOKUP($AK23,재분류,2,0),IF($AJ23=1,EF_Combustion1,EF_Combustion2),8,0)),IF(LEFT($AI23,2)="이동",VLOOKUP($AK23,EF_Combustion_mobile,8,0),VLOOKUP($AK23,EF_Indirect,8,0))),"Tier3"),""),0)</f>
        <v/>
      </c>
      <c r="AS23" s="228" t="str">
        <f>IFERROR(IF($AI23&lt;&gt;"",IF($AJ23&lt;3,IF(RIGHT($AI23,4)="연료연소",IFERROR(VLOOKUP($AK23,IF($AJ23=1,EF_Combustion1,EF_Combustion2),12,0),VLOOKUP(VLOOKUP($AK23,재분류,2,0),IF($AJ23=1,EF_Combustion1,EF_Combustion2),12,0)),IF(LEFT($AI23,2)="이동",VLOOKUP($AK23,EF_Combustion_mobile,12,0),VLOOKUP($AK23,EF_Indirect,12,0))),"Tier3"),""),0)</f>
        <v/>
      </c>
      <c r="AT23" s="228"/>
      <c r="AU23" s="229" t="str">
        <f>IFERROR(IF($AI23&lt;&gt;"",IF($AJ23&lt;3,IF(RIGHT($AI23,4)="연료연소",IFERROR(VLOOKUP($AK23,IF($AJ23=1,EF_Combustion1,EF_Combustion2),11,0),VLOOKUP(VLOOKUP($AK23,재분류,2,0),IF($AJ23=1,EF_Combustion1,EF_Combustion2),11,0)),IF(LEFT($AI23,2)="이동",VLOOKUP($AK23,EF_Combustion_mobile,11,0),VLOOKUP($AK23,EF_Indirect,11,0))),"Tier3"),""),0)</f>
        <v/>
      </c>
      <c r="AV23" s="230" t="str">
        <f>IFERROR(IF($AI23&lt;&gt;"",IF($AJ23&lt;3,IF(RIGHT($AI23,4)="연료연소",IFERROR(VLOOKUP($AK23,IF($AJ23=1,EF_Combustion1,EF_Combustion2),12+VLOOKUP(적용업종,업종분류,2,0),0),VLOOKUP(VLOOKUP($AK23,재분류,2,0),IF($AJ23=1,EF_Combustion1,EF_Combustion2),12+VLOOKUP(적용업종,업종분류,2,0),0)),IF(LEFT($AI23,2)="이동",VLOOKUP($AK23,EF_Combustion_mobile,12+VLOOKUP(적용업종,업종분류,2,0),0),VLOOKUP($AK23,EF_Indirect,12+VLOOKUP(적용업종,업종분류,2,0),0))),"Tier3"),""),0)</f>
        <v/>
      </c>
      <c r="AW23" s="230"/>
      <c r="AX23" s="229" t="str">
        <f t="shared" si="7"/>
        <v/>
      </c>
      <c r="AY23" s="230" t="str">
        <f>IFERROR(IF($AI23&lt;&gt;"",IF($AJ23&lt;3,IF(RIGHT($AI23,4)="연료연소",IFERROR(VLOOKUP($AK23,IF($AJ23=1,EF_Combustion1,EF_Combustion2),16+VLOOKUP(적용업종,업종분류,3,0),0),VLOOKUP(VLOOKUP($AK23,재분류,2,0),IF($AJ23=1,EF_Combustion1,EF_Combustion2),16+VLOOKUP(적용업종,업종분류,3,0),0)),IF(LEFT($AI23,2)="이동",VLOOKUP($AK23,EF_Combustion_mobile,16+VLOOKUP(적용업종,업종분류,3,0),0),VLOOKUP($AK23,EF_Indirect,16+VLOOKUP(적용업종,업종분류,3,0),0))),"Tier3"),""),0)</f>
        <v/>
      </c>
      <c r="AZ23" s="230"/>
      <c r="BA23" s="225" t="str">
        <f t="shared" si="8"/>
        <v/>
      </c>
      <c r="BB23" s="190" t="str">
        <f t="shared" si="9"/>
        <v/>
      </c>
      <c r="BN23" s="62" t="s">
        <v>202</v>
      </c>
      <c r="BO23" s="595"/>
      <c r="BP23" s="91" t="s">
        <v>204</v>
      </c>
      <c r="BQ23" s="91" t="s">
        <v>295</v>
      </c>
      <c r="BR23" s="91" t="s">
        <v>296</v>
      </c>
      <c r="BS23" s="91"/>
      <c r="BT23" s="91"/>
      <c r="BU23" s="91"/>
      <c r="BV23" s="91"/>
      <c r="BW23" s="91"/>
      <c r="BX23" s="91" t="s">
        <v>297</v>
      </c>
      <c r="BY23" s="91">
        <v>41.6</v>
      </c>
      <c r="BZ23" s="91">
        <v>40.4</v>
      </c>
      <c r="CA23" s="91" t="s">
        <v>207</v>
      </c>
      <c r="CB23" s="92">
        <v>77400</v>
      </c>
      <c r="CC23" s="91">
        <v>3</v>
      </c>
      <c r="CD23" s="91">
        <v>3</v>
      </c>
      <c r="CE23" s="91">
        <v>10</v>
      </c>
      <c r="CF23" s="91">
        <v>10</v>
      </c>
      <c r="CG23" s="91">
        <v>0.6</v>
      </c>
      <c r="CH23" s="91">
        <v>0.6</v>
      </c>
      <c r="CI23" s="91"/>
      <c r="CJ23" s="4"/>
      <c r="CK23"/>
      <c r="CL23"/>
      <c r="CM23"/>
      <c r="CN23"/>
      <c r="CO23"/>
      <c r="CP23" s="20" t="s">
        <v>298</v>
      </c>
      <c r="CQ23"/>
      <c r="CR23"/>
      <c r="CS23"/>
      <c r="CT23"/>
      <c r="CU23"/>
      <c r="CV23" s="4" t="s">
        <v>299</v>
      </c>
      <c r="CW23" s="4"/>
      <c r="CX23" s="4" t="s">
        <v>289</v>
      </c>
      <c r="CY23" s="4"/>
      <c r="CZ23" s="95"/>
      <c r="DA23"/>
    </row>
    <row r="24" spans="2:107">
      <c r="B24" s="576"/>
      <c r="C24" s="577"/>
      <c r="D24" s="577"/>
      <c r="E24" s="577"/>
      <c r="F24" s="577"/>
      <c r="G24" s="577"/>
      <c r="H24" s="577"/>
      <c r="I24" s="578"/>
      <c r="L24" s="211">
        <v>1</v>
      </c>
      <c r="M24" s="173">
        <f t="shared" si="17"/>
        <v>0</v>
      </c>
      <c r="N24" s="173">
        <f t="shared" si="18"/>
        <v>0</v>
      </c>
      <c r="O24" s="207"/>
      <c r="P24" s="207"/>
      <c r="Q24" s="207"/>
      <c r="R24" s="207"/>
      <c r="S24" s="209"/>
      <c r="T24" s="264"/>
      <c r="U24" s="187" t="str">
        <f t="shared" si="2"/>
        <v/>
      </c>
      <c r="V24" s="188" t="str">
        <f>IFERROR(IF($O24&lt;&gt;"",IF($P24&lt;3,IF(RIGHT($O24,4)="연료연소",IFERROR(VLOOKUP($Q24,IF($P24=1,EF_Combustion1,EF_Combustion2),10,0),VLOOKUP(VLOOKUP($Q24,재분류,2,0),IF($P24=1,EF_Combustion1,EF_Combustion2),10,0)),IF(LEFT($O24,2)="이동",VLOOKUP($Q24,EF_Combustion_mobile,10,0),VLOOKUP($Q24,EF_Indirect,10,0))),"Tier3"),""),0)</f>
        <v/>
      </c>
      <c r="W24" s="226"/>
      <c r="X24" s="227" t="str">
        <f>IFERROR(IF($O24&lt;&gt;"",IF($P24&lt;3,IF(RIGHT($O24,4)="연료연소",IFERROR(VLOOKUP($Q24,IF($P24=1,EF_Combustion1,EF_Combustion2),8,0),VLOOKUP(VLOOKUP($Q24,재분류,2,0),IF($P24=1,EF_Combustion1,EF_Combustion2),8,0)),IF(LEFT($O24,2)="이동",VLOOKUP($Q24,EF_Combustion_mobile,8,0),VLOOKUP($Q24,EF_Indirect,8,0))),"Tier3"),""),0)</f>
        <v/>
      </c>
      <c r="Y24" s="228" t="str">
        <f>IFERROR(IF($O24&lt;&gt;"",IF($P24&lt;3,IF(RIGHT($O24,4)="연료연소",IFERROR(VLOOKUP($Q24,IF($P24=1,EF_Combustion1,EF_Combustion2),12,0),VLOOKUP(VLOOKUP($Q24,재분류,2,0),IF($P24=1,EF_Combustion1,EF_Combustion2),12,0)),IF(LEFT($O24,2)="이동",VLOOKUP($Q24,EF_Combustion_mobile,12,0),VLOOKUP($Q24,EF_Indirect,12,0))),"Tier3"),""),0)</f>
        <v/>
      </c>
      <c r="Z24" s="228"/>
      <c r="AA24" s="229" t="str">
        <f>IFERROR(IF($O24&lt;&gt;"",IF($P24&lt;3,IF(RIGHT($O24,4)="연료연소",IFERROR(VLOOKUP($Q24,IF($P24=1,EF_Combustion1,EF_Combustion2),11,0),VLOOKUP(VLOOKUP($Q24,재분류,2,0),IF($P24=1,EF_Combustion1,EF_Combustion2),11,0)),IF(LEFT($O24,2)="이동",VLOOKUP($Q24,EF_Combustion_mobile,11,0),VLOOKUP($Q24,EF_Indirect,11,0))),"Tier3"),""),0)</f>
        <v/>
      </c>
      <c r="AB24" s="230" t="str">
        <f>IFERROR(IF($O24&lt;&gt;"",IF($P24&lt;3,IF(RIGHT($O24,4)="연료연소",IFERROR(VLOOKUP($Q24,IF($P24=1,EF_Combustion1,EF_Combustion2),12+VLOOKUP(적용업종,업종분류,2,0),0),VLOOKUP(VLOOKUP($Q24,재분류,2,0),IF($P24=1,EF_Combustion1,EF_Combustion2),12+VLOOKUP(적용업종,업종분류,2,0),0)),IF(LEFT($O24,2)="이동",VLOOKUP($Q24,EF_Combustion_mobile,12+VLOOKUP(적용업종,업종분류,2,0),0),VLOOKUP($Q24,EF_Indirect,12+VLOOKUP(적용업종,업종분류,2,0),0))),"Tier3"),""),0)</f>
        <v/>
      </c>
      <c r="AC24" s="230"/>
      <c r="AD24" s="229" t="str">
        <f t="shared" si="3"/>
        <v/>
      </c>
      <c r="AE24" s="230" t="str">
        <f>IFERROR(IF($O24&lt;&gt;"",IF($P24&lt;3,IF(RIGHT($O24,4)="연료연소",IFERROR(VLOOKUP($Q24,IF($P24=1,EF_Combustion1,EF_Combustion2),16+VLOOKUP(적용업종,업종분류,3,0),0),VLOOKUP(VLOOKUP($Q24,재분류,2,0),IF($P24=1,EF_Combustion1,EF_Combustion2),16+VLOOKUP(적용업종,업종분류,3,0),0)),IF(LEFT($O24,2)="이동",VLOOKUP($Q24,EF_Combustion_mobile,16+VLOOKUP(적용업종,업종분류,3,0),0),VLOOKUP($Q24,EF_Indirect,16+VLOOKUP(적용업종,업종분류,3,0),0))),"Tier3"),""),0)</f>
        <v/>
      </c>
      <c r="AF24" s="230"/>
      <c r="AG24" s="225" t="str">
        <f t="shared" si="4"/>
        <v/>
      </c>
      <c r="AH24" s="189" t="str">
        <f t="shared" si="5"/>
        <v/>
      </c>
      <c r="AI24" s="210"/>
      <c r="AJ24" s="207"/>
      <c r="AK24" s="207"/>
      <c r="AL24" s="207"/>
      <c r="AM24" s="209"/>
      <c r="AN24" s="264"/>
      <c r="AO24" s="187" t="str">
        <f t="shared" si="6"/>
        <v/>
      </c>
      <c r="AP24" s="188" t="str">
        <f>IFERROR(IF($AI24&lt;&gt;"",IF($AJ24&lt;3,IF(RIGHT($AI24,4)="연료연소",IFERROR(VLOOKUP($AK24,IF($AJ24=1,EF_Combustion1,EF_Combustion2),10,0),VLOOKUP(VLOOKUP($AK24,재분류,2,0),IF($AJ24=1,EF_Combustion1,EF_Combustion2),10,0)),IF(LEFT($AI24,2)="이동",VLOOKUP($AK24,EF_Combustion_mobile,10,0),VLOOKUP($AK24,EF_Indirect,10,0))),"Tier3"),""),0)</f>
        <v/>
      </c>
      <c r="AQ24" s="226"/>
      <c r="AR24" s="227" t="str">
        <f>IFERROR(IF($AI24&lt;&gt;"",IF($AJ24&lt;3,IF(RIGHT($AI24,4)="연료연소",IFERROR(VLOOKUP($AK24,IF($AJ24=1,EF_Combustion1,EF_Combustion2),8,0),VLOOKUP(VLOOKUP($AK24,재분류,2,0),IF($AJ24=1,EF_Combustion1,EF_Combustion2),8,0)),IF(LEFT($AI24,2)="이동",VLOOKUP($AK24,EF_Combustion_mobile,8,0),VLOOKUP($AK24,EF_Indirect,8,0))),"Tier3"),""),0)</f>
        <v/>
      </c>
      <c r="AS24" s="228" t="str">
        <f>IFERROR(IF($AI24&lt;&gt;"",IF($AJ24&lt;3,IF(RIGHT($AI24,4)="연료연소",IFERROR(VLOOKUP($AK24,IF($AJ24=1,EF_Combustion1,EF_Combustion2),12,0),VLOOKUP(VLOOKUP($AK24,재분류,2,0),IF($AJ24=1,EF_Combustion1,EF_Combustion2),12,0)),IF(LEFT($AI24,2)="이동",VLOOKUP($AK24,EF_Combustion_mobile,12,0),VLOOKUP($AK24,EF_Indirect,12,0))),"Tier3"),""),0)</f>
        <v/>
      </c>
      <c r="AT24" s="228"/>
      <c r="AU24" s="229" t="str">
        <f>IFERROR(IF($AI24&lt;&gt;"",IF($AJ24&lt;3,IF(RIGHT($AI24,4)="연료연소",IFERROR(VLOOKUP($AK24,IF($AJ24=1,EF_Combustion1,EF_Combustion2),11,0),VLOOKUP(VLOOKUP($AK24,재분류,2,0),IF($AJ24=1,EF_Combustion1,EF_Combustion2),11,0)),IF(LEFT($AI24,2)="이동",VLOOKUP($AK24,EF_Combustion_mobile,11,0),VLOOKUP($AK24,EF_Indirect,11,0))),"Tier3"),""),0)</f>
        <v/>
      </c>
      <c r="AV24" s="230" t="str">
        <f>IFERROR(IF($AI24&lt;&gt;"",IF($AJ24&lt;3,IF(RIGHT($AI24,4)="연료연소",IFERROR(VLOOKUP($AK24,IF($AJ24=1,EF_Combustion1,EF_Combustion2),12+VLOOKUP(적용업종,업종분류,2,0),0),VLOOKUP(VLOOKUP($AK24,재분류,2,0),IF($AJ24=1,EF_Combustion1,EF_Combustion2),12+VLOOKUP(적용업종,업종분류,2,0),0)),IF(LEFT($AI24,2)="이동",VLOOKUP($AK24,EF_Combustion_mobile,12+VLOOKUP(적용업종,업종분류,2,0),0),VLOOKUP($AK24,EF_Indirect,12+VLOOKUP(적용업종,업종분류,2,0),0))),"Tier3"),""),0)</f>
        <v/>
      </c>
      <c r="AW24" s="230"/>
      <c r="AX24" s="229" t="str">
        <f t="shared" si="7"/>
        <v/>
      </c>
      <c r="AY24" s="230" t="str">
        <f>IFERROR(IF($AI24&lt;&gt;"",IF($AJ24&lt;3,IF(RIGHT($AI24,4)="연료연소",IFERROR(VLOOKUP($AK24,IF($AJ24=1,EF_Combustion1,EF_Combustion2),16+VLOOKUP(적용업종,업종분류,3,0),0),VLOOKUP(VLOOKUP($AK24,재분류,2,0),IF($AJ24=1,EF_Combustion1,EF_Combustion2),16+VLOOKUP(적용업종,업종분류,3,0),0)),IF(LEFT($AI24,2)="이동",VLOOKUP($AK24,EF_Combustion_mobile,16+VLOOKUP(적용업종,업종분류,3,0),0),VLOOKUP($AK24,EF_Indirect,16+VLOOKUP(적용업종,업종분류,3,0),0))),"Tier3"),""),0)</f>
        <v/>
      </c>
      <c r="AZ24" s="230"/>
      <c r="BA24" s="225" t="str">
        <f t="shared" si="8"/>
        <v/>
      </c>
      <c r="BB24" s="190" t="str">
        <f t="shared" si="9"/>
        <v/>
      </c>
      <c r="BN24" s="62" t="s">
        <v>202</v>
      </c>
      <c r="BO24" s="595"/>
      <c r="BP24" s="91" t="s">
        <v>204</v>
      </c>
      <c r="BQ24" s="91" t="s">
        <v>300</v>
      </c>
      <c r="BR24" s="91" t="s">
        <v>300</v>
      </c>
      <c r="BS24" s="91"/>
      <c r="BT24" s="91"/>
      <c r="BU24" s="91"/>
      <c r="BV24" s="91"/>
      <c r="BW24" s="91"/>
      <c r="BX24" s="91" t="s">
        <v>206</v>
      </c>
      <c r="BY24" s="91">
        <v>32.299999999999997</v>
      </c>
      <c r="BZ24" s="91">
        <v>44.5</v>
      </c>
      <c r="CA24" s="91" t="s">
        <v>207</v>
      </c>
      <c r="CB24" s="92">
        <v>73300</v>
      </c>
      <c r="CC24" s="91">
        <v>3</v>
      </c>
      <c r="CD24" s="91">
        <v>3</v>
      </c>
      <c r="CE24" s="91">
        <v>10</v>
      </c>
      <c r="CF24" s="91">
        <v>10</v>
      </c>
      <c r="CG24" s="91">
        <v>0.6</v>
      </c>
      <c r="CH24" s="91">
        <v>0.6</v>
      </c>
      <c r="CI24" s="4" t="s">
        <v>301</v>
      </c>
      <c r="CJ24" s="4" t="s">
        <v>302</v>
      </c>
      <c r="CK24"/>
      <c r="CL24"/>
      <c r="CM24"/>
      <c r="CN24"/>
      <c r="CO24"/>
      <c r="CP24" s="100" t="s">
        <v>261</v>
      </c>
      <c r="CQ24" s="102" t="s">
        <v>269</v>
      </c>
      <c r="CR24" s="102" t="s">
        <v>272</v>
      </c>
      <c r="CS24"/>
      <c r="CT24"/>
      <c r="CU24"/>
      <c r="CV24" s="4" t="s">
        <v>303</v>
      </c>
      <c r="CW24" s="4"/>
      <c r="CX24" s="4" t="s">
        <v>289</v>
      </c>
      <c r="CY24" s="4"/>
      <c r="CZ24" s="95"/>
      <c r="DA24"/>
    </row>
    <row r="25" spans="2:107">
      <c r="B25" s="576"/>
      <c r="C25" s="577"/>
      <c r="D25" s="577"/>
      <c r="E25" s="577"/>
      <c r="F25" s="577"/>
      <c r="G25" s="577"/>
      <c r="H25" s="577"/>
      <c r="I25" s="578"/>
      <c r="L25" s="211">
        <v>1</v>
      </c>
      <c r="M25" s="173">
        <f t="shared" si="17"/>
        <v>0</v>
      </c>
      <c r="N25" s="173">
        <f t="shared" si="18"/>
        <v>0</v>
      </c>
      <c r="O25" s="207"/>
      <c r="P25" s="207"/>
      <c r="Q25" s="207"/>
      <c r="R25" s="207"/>
      <c r="S25" s="209"/>
      <c r="T25" s="264"/>
      <c r="U25" s="187" t="str">
        <f t="shared" si="2"/>
        <v/>
      </c>
      <c r="V25" s="188" t="str">
        <f>IFERROR(IF($O25&lt;&gt;"",IF($P25&lt;3,IF(RIGHT($O25,4)="연료연소",IFERROR(VLOOKUP($Q25,IF($P25=1,EF_Combustion1,EF_Combustion2),10,0),VLOOKUP(VLOOKUP($Q25,재분류,2,0),IF($P25=1,EF_Combustion1,EF_Combustion2),10,0)),IF(LEFT($O25,2)="이동",VLOOKUP($Q25,EF_Combustion_mobile,10,0),VLOOKUP($Q25,EF_Indirect,10,0))),"Tier3"),""),0)</f>
        <v/>
      </c>
      <c r="W25" s="226"/>
      <c r="X25" s="227" t="str">
        <f>IFERROR(IF($O25&lt;&gt;"",IF($P25&lt;3,IF(RIGHT($O25,4)="연료연소",IFERROR(VLOOKUP($Q25,IF($P25=1,EF_Combustion1,EF_Combustion2),8,0),VLOOKUP(VLOOKUP($Q25,재분류,2,0),IF($P25=1,EF_Combustion1,EF_Combustion2),8,0)),IF(LEFT($O25,2)="이동",VLOOKUP($Q25,EF_Combustion_mobile,8,0),VLOOKUP($Q25,EF_Indirect,8,0))),"Tier3"),""),0)</f>
        <v/>
      </c>
      <c r="Y25" s="228" t="str">
        <f>IFERROR(IF($O25&lt;&gt;"",IF($P25&lt;3,IF(RIGHT($O25,4)="연료연소",IFERROR(VLOOKUP($Q25,IF($P25=1,EF_Combustion1,EF_Combustion2),12,0),VLOOKUP(VLOOKUP($Q25,재분류,2,0),IF($P25=1,EF_Combustion1,EF_Combustion2),12,0)),IF(LEFT($O25,2)="이동",VLOOKUP($Q25,EF_Combustion_mobile,12,0),VLOOKUP($Q25,EF_Indirect,12,0))),"Tier3"),""),0)</f>
        <v/>
      </c>
      <c r="Z25" s="228"/>
      <c r="AA25" s="229" t="str">
        <f>IFERROR(IF($O25&lt;&gt;"",IF($P25&lt;3,IF(RIGHT($O25,4)="연료연소",IFERROR(VLOOKUP($Q25,IF($P25=1,EF_Combustion1,EF_Combustion2),11,0),VLOOKUP(VLOOKUP($Q25,재분류,2,0),IF($P25=1,EF_Combustion1,EF_Combustion2),11,0)),IF(LEFT($O25,2)="이동",VLOOKUP($Q25,EF_Combustion_mobile,11,0),VLOOKUP($Q25,EF_Indirect,11,0))),"Tier3"),""),0)</f>
        <v/>
      </c>
      <c r="AB25" s="230" t="str">
        <f>IFERROR(IF($O25&lt;&gt;"",IF($P25&lt;3,IF(RIGHT($O25,4)="연료연소",IFERROR(VLOOKUP($Q25,IF($P25=1,EF_Combustion1,EF_Combustion2),12+VLOOKUP(적용업종,업종분류,2,0),0),VLOOKUP(VLOOKUP($Q25,재분류,2,0),IF($P25=1,EF_Combustion1,EF_Combustion2),12+VLOOKUP(적용업종,업종분류,2,0),0)),IF(LEFT($O25,2)="이동",VLOOKUP($Q25,EF_Combustion_mobile,12+VLOOKUP(적용업종,업종분류,2,0),0),VLOOKUP($Q25,EF_Indirect,12+VLOOKUP(적용업종,업종분류,2,0),0))),"Tier3"),""),0)</f>
        <v/>
      </c>
      <c r="AC25" s="230"/>
      <c r="AD25" s="229" t="str">
        <f t="shared" si="3"/>
        <v/>
      </c>
      <c r="AE25" s="230" t="str">
        <f>IFERROR(IF($O25&lt;&gt;"",IF($P25&lt;3,IF(RIGHT($O25,4)="연료연소",IFERROR(VLOOKUP($Q25,IF($P25=1,EF_Combustion1,EF_Combustion2),16+VLOOKUP(적용업종,업종분류,3,0),0),VLOOKUP(VLOOKUP($Q25,재분류,2,0),IF($P25=1,EF_Combustion1,EF_Combustion2),16+VLOOKUP(적용업종,업종분류,3,0),0)),IF(LEFT($O25,2)="이동",VLOOKUP($Q25,EF_Combustion_mobile,16+VLOOKUP(적용업종,업종분류,3,0),0),VLOOKUP($Q25,EF_Indirect,16+VLOOKUP(적용업종,업종분류,3,0),0))),"Tier3"),""),0)</f>
        <v/>
      </c>
      <c r="AF25" s="230"/>
      <c r="AG25" s="225" t="str">
        <f t="shared" si="4"/>
        <v/>
      </c>
      <c r="AH25" s="189" t="str">
        <f t="shared" si="5"/>
        <v/>
      </c>
      <c r="AI25" s="210"/>
      <c r="AJ25" s="207"/>
      <c r="AK25" s="207"/>
      <c r="AL25" s="207"/>
      <c r="AM25" s="209"/>
      <c r="AN25" s="264"/>
      <c r="AO25" s="187" t="str">
        <f t="shared" si="6"/>
        <v/>
      </c>
      <c r="AP25" s="188" t="str">
        <f>IFERROR(IF($AI25&lt;&gt;"",IF($AJ25&lt;3,IF(RIGHT($AI25,4)="연료연소",IFERROR(VLOOKUP($AK25,IF($AJ25=1,EF_Combustion1,EF_Combustion2),10,0),VLOOKUP(VLOOKUP($AK25,재분류,2,0),IF($AJ25=1,EF_Combustion1,EF_Combustion2),10,0)),IF(LEFT($AI25,2)="이동",VLOOKUP($AK25,EF_Combustion_mobile,10,0),VLOOKUP($AK25,EF_Indirect,10,0))),"Tier3"),""),0)</f>
        <v/>
      </c>
      <c r="AQ25" s="226"/>
      <c r="AR25" s="227" t="str">
        <f>IFERROR(IF($AI25&lt;&gt;"",IF($AJ25&lt;3,IF(RIGHT($AI25,4)="연료연소",IFERROR(VLOOKUP($AK25,IF($AJ25=1,EF_Combustion1,EF_Combustion2),8,0),VLOOKUP(VLOOKUP($AK25,재분류,2,0),IF($AJ25=1,EF_Combustion1,EF_Combustion2),8,0)),IF(LEFT($AI25,2)="이동",VLOOKUP($AK25,EF_Combustion_mobile,8,0),VLOOKUP($AK25,EF_Indirect,8,0))),"Tier3"),""),0)</f>
        <v/>
      </c>
      <c r="AS25" s="228" t="str">
        <f>IFERROR(IF($AI25&lt;&gt;"",IF($AJ25&lt;3,IF(RIGHT($AI25,4)="연료연소",IFERROR(VLOOKUP($AK25,IF($AJ25=1,EF_Combustion1,EF_Combustion2),12,0),VLOOKUP(VLOOKUP($AK25,재분류,2,0),IF($AJ25=1,EF_Combustion1,EF_Combustion2),12,0)),IF(LEFT($AI25,2)="이동",VLOOKUP($AK25,EF_Combustion_mobile,12,0),VLOOKUP($AK25,EF_Indirect,12,0))),"Tier3"),""),0)</f>
        <v/>
      </c>
      <c r="AT25" s="228"/>
      <c r="AU25" s="229" t="str">
        <f>IFERROR(IF($AI25&lt;&gt;"",IF($AJ25&lt;3,IF(RIGHT($AI25,4)="연료연소",IFERROR(VLOOKUP($AK25,IF($AJ25=1,EF_Combustion1,EF_Combustion2),11,0),VLOOKUP(VLOOKUP($AK25,재분류,2,0),IF($AJ25=1,EF_Combustion1,EF_Combustion2),11,0)),IF(LEFT($AI25,2)="이동",VLOOKUP($AK25,EF_Combustion_mobile,11,0),VLOOKUP($AK25,EF_Indirect,11,0))),"Tier3"),""),0)</f>
        <v/>
      </c>
      <c r="AV25" s="230" t="str">
        <f>IFERROR(IF($AI25&lt;&gt;"",IF($AJ25&lt;3,IF(RIGHT($AI25,4)="연료연소",IFERROR(VLOOKUP($AK25,IF($AJ25=1,EF_Combustion1,EF_Combustion2),12+VLOOKUP(적용업종,업종분류,2,0),0),VLOOKUP(VLOOKUP($AK25,재분류,2,0),IF($AJ25=1,EF_Combustion1,EF_Combustion2),12+VLOOKUP(적용업종,업종분류,2,0),0)),IF(LEFT($AI25,2)="이동",VLOOKUP($AK25,EF_Combustion_mobile,12+VLOOKUP(적용업종,업종분류,2,0),0),VLOOKUP($AK25,EF_Indirect,12+VLOOKUP(적용업종,업종분류,2,0),0))),"Tier3"),""),0)</f>
        <v/>
      </c>
      <c r="AW25" s="230"/>
      <c r="AX25" s="229" t="str">
        <f t="shared" si="7"/>
        <v/>
      </c>
      <c r="AY25" s="230" t="str">
        <f>IFERROR(IF($AI25&lt;&gt;"",IF($AJ25&lt;3,IF(RIGHT($AI25,4)="연료연소",IFERROR(VLOOKUP($AK25,IF($AJ25=1,EF_Combustion1,EF_Combustion2),16+VLOOKUP(적용업종,업종분류,3,0),0),VLOOKUP(VLOOKUP($AK25,재분류,2,0),IF($AJ25=1,EF_Combustion1,EF_Combustion2),16+VLOOKUP(적용업종,업종분류,3,0),0)),IF(LEFT($AI25,2)="이동",VLOOKUP($AK25,EF_Combustion_mobile,16+VLOOKUP(적용업종,업종분류,3,0),0),VLOOKUP($AK25,EF_Indirect,16+VLOOKUP(적용업종,업종분류,3,0),0))),"Tier3"),""),0)</f>
        <v/>
      </c>
      <c r="AZ25" s="230"/>
      <c r="BA25" s="225" t="str">
        <f t="shared" si="8"/>
        <v/>
      </c>
      <c r="BB25" s="190" t="str">
        <f t="shared" si="9"/>
        <v/>
      </c>
      <c r="BN25" s="62" t="s">
        <v>222</v>
      </c>
      <c r="BO25" s="595"/>
      <c r="BP25" s="91" t="s">
        <v>204</v>
      </c>
      <c r="BQ25" s="91" t="s">
        <v>237</v>
      </c>
      <c r="BR25" s="91" t="s">
        <v>304</v>
      </c>
      <c r="BS25" s="91"/>
      <c r="BT25" s="91"/>
      <c r="BU25" s="91"/>
      <c r="BV25" s="91"/>
      <c r="BW25" s="91"/>
      <c r="BX25" s="91" t="s">
        <v>305</v>
      </c>
      <c r="BY25" s="91">
        <v>43.6</v>
      </c>
      <c r="BZ25" s="91">
        <v>44.2</v>
      </c>
      <c r="CA25" s="91" t="s">
        <v>207</v>
      </c>
      <c r="CB25" s="92">
        <v>56100</v>
      </c>
      <c r="CC25" s="91">
        <v>1</v>
      </c>
      <c r="CD25" s="91">
        <v>1</v>
      </c>
      <c r="CE25" s="91">
        <v>5</v>
      </c>
      <c r="CF25" s="91">
        <v>5</v>
      </c>
      <c r="CG25" s="91">
        <v>0.1</v>
      </c>
      <c r="CH25" s="91">
        <v>0.1</v>
      </c>
      <c r="CI25" s="4" t="s">
        <v>306</v>
      </c>
      <c r="CJ25" s="4" t="s">
        <v>307</v>
      </c>
      <c r="CK25"/>
      <c r="CL25"/>
      <c r="CM25"/>
      <c r="CN25"/>
      <c r="CO25"/>
      <c r="CP25" s="93" t="s">
        <v>308</v>
      </c>
      <c r="CQ25" s="4">
        <v>1</v>
      </c>
      <c r="CR25" s="4">
        <v>1</v>
      </c>
      <c r="CS25"/>
      <c r="CT25"/>
      <c r="CU25"/>
      <c r="CV25" s="4" t="s">
        <v>309</v>
      </c>
      <c r="CW25" s="4"/>
      <c r="CX25" s="4" t="s">
        <v>289</v>
      </c>
      <c r="CY25" s="4"/>
      <c r="CZ25" s="95"/>
      <c r="DA25"/>
    </row>
    <row r="26" spans="2:107">
      <c r="B26" s="576"/>
      <c r="C26" s="577"/>
      <c r="D26" s="577"/>
      <c r="E26" s="577"/>
      <c r="F26" s="577"/>
      <c r="G26" s="577"/>
      <c r="H26" s="577"/>
      <c r="I26" s="578"/>
      <c r="L26" s="211">
        <v>1</v>
      </c>
      <c r="M26" s="173">
        <f t="shared" si="17"/>
        <v>0</v>
      </c>
      <c r="N26" s="173">
        <f t="shared" si="18"/>
        <v>0</v>
      </c>
      <c r="O26" s="207"/>
      <c r="P26" s="207"/>
      <c r="Q26" s="207"/>
      <c r="R26" s="207"/>
      <c r="S26" s="209"/>
      <c r="T26" s="264"/>
      <c r="U26" s="187" t="str">
        <f t="shared" si="2"/>
        <v/>
      </c>
      <c r="V26" s="188" t="str">
        <f>IFERROR(IF($O26&lt;&gt;"",IF($P26&lt;3,IF(RIGHT($O26,4)="연료연소",IFERROR(VLOOKUP($Q26,IF($P26=1,EF_Combustion1,EF_Combustion2),10,0),VLOOKUP(VLOOKUP($Q26,재분류,2,0),IF($P26=1,EF_Combustion1,EF_Combustion2),10,0)),IF(LEFT($O26,2)="이동",VLOOKUP($Q26,EF_Combustion_mobile,10,0),VLOOKUP($Q26,EF_Indirect,10,0))),"Tier3"),""),0)</f>
        <v/>
      </c>
      <c r="W26" s="226"/>
      <c r="X26" s="227" t="str">
        <f>IFERROR(IF($O26&lt;&gt;"",IF($P26&lt;3,IF(RIGHT($O26,4)="연료연소",IFERROR(VLOOKUP($Q26,IF($P26=1,EF_Combustion1,EF_Combustion2),8,0),VLOOKUP(VLOOKUP($Q26,재분류,2,0),IF($P26=1,EF_Combustion1,EF_Combustion2),8,0)),IF(LEFT($O26,2)="이동",VLOOKUP($Q26,EF_Combustion_mobile,8,0),VLOOKUP($Q26,EF_Indirect,8,0))),"Tier3"),""),0)</f>
        <v/>
      </c>
      <c r="Y26" s="228" t="str">
        <f>IFERROR(IF($O26&lt;&gt;"",IF($P26&lt;3,IF(RIGHT($O26,4)="연료연소",IFERROR(VLOOKUP($Q26,IF($P26=1,EF_Combustion1,EF_Combustion2),12,0),VLOOKUP(VLOOKUP($Q26,재분류,2,0),IF($P26=1,EF_Combustion1,EF_Combustion2),12,0)),IF(LEFT($O26,2)="이동",VLOOKUP($Q26,EF_Combustion_mobile,12,0),VLOOKUP($Q26,EF_Indirect,12,0))),"Tier3"),""),0)</f>
        <v/>
      </c>
      <c r="Z26" s="228"/>
      <c r="AA26" s="229" t="str">
        <f>IFERROR(IF($O26&lt;&gt;"",IF($P26&lt;3,IF(RIGHT($O26,4)="연료연소",IFERROR(VLOOKUP($Q26,IF($P26=1,EF_Combustion1,EF_Combustion2),11,0),VLOOKUP(VLOOKUP($Q26,재분류,2,0),IF($P26=1,EF_Combustion1,EF_Combustion2),11,0)),IF(LEFT($O26,2)="이동",VLOOKUP($Q26,EF_Combustion_mobile,11,0),VLOOKUP($Q26,EF_Indirect,11,0))),"Tier3"),""),0)</f>
        <v/>
      </c>
      <c r="AB26" s="230" t="str">
        <f>IFERROR(IF($O26&lt;&gt;"",IF($P26&lt;3,IF(RIGHT($O26,4)="연료연소",IFERROR(VLOOKUP($Q26,IF($P26=1,EF_Combustion1,EF_Combustion2),12+VLOOKUP(적용업종,업종분류,2,0),0),VLOOKUP(VLOOKUP($Q26,재분류,2,0),IF($P26=1,EF_Combustion1,EF_Combustion2),12+VLOOKUP(적용업종,업종분류,2,0),0)),IF(LEFT($O26,2)="이동",VLOOKUP($Q26,EF_Combustion_mobile,12+VLOOKUP(적용업종,업종분류,2,0),0),VLOOKUP($Q26,EF_Indirect,12+VLOOKUP(적용업종,업종분류,2,0),0))),"Tier3"),""),0)</f>
        <v/>
      </c>
      <c r="AC26" s="230"/>
      <c r="AD26" s="229" t="str">
        <f t="shared" si="3"/>
        <v/>
      </c>
      <c r="AE26" s="230" t="str">
        <f>IFERROR(IF($O26&lt;&gt;"",IF($P26&lt;3,IF(RIGHT($O26,4)="연료연소",IFERROR(VLOOKUP($Q26,IF($P26=1,EF_Combustion1,EF_Combustion2),16+VLOOKUP(적용업종,업종분류,3,0),0),VLOOKUP(VLOOKUP($Q26,재분류,2,0),IF($P26=1,EF_Combustion1,EF_Combustion2),16+VLOOKUP(적용업종,업종분류,3,0),0)),IF(LEFT($O26,2)="이동",VLOOKUP($Q26,EF_Combustion_mobile,16+VLOOKUP(적용업종,업종분류,3,0),0),VLOOKUP($Q26,EF_Indirect,16+VLOOKUP(적용업종,업종분류,3,0),0))),"Tier3"),""),0)</f>
        <v/>
      </c>
      <c r="AF26" s="230"/>
      <c r="AG26" s="225" t="str">
        <f t="shared" si="4"/>
        <v/>
      </c>
      <c r="AH26" s="189" t="str">
        <f t="shared" si="5"/>
        <v/>
      </c>
      <c r="AI26" s="210"/>
      <c r="AJ26" s="207"/>
      <c r="AK26" s="207"/>
      <c r="AL26" s="207"/>
      <c r="AM26" s="209"/>
      <c r="AN26" s="264"/>
      <c r="AO26" s="187" t="str">
        <f t="shared" si="6"/>
        <v/>
      </c>
      <c r="AP26" s="188" t="str">
        <f>IFERROR(IF($AI26&lt;&gt;"",IF($AJ26&lt;3,IF(RIGHT($AI26,4)="연료연소",IFERROR(VLOOKUP($AK26,IF($AJ26=1,EF_Combustion1,EF_Combustion2),10,0),VLOOKUP(VLOOKUP($AK26,재분류,2,0),IF($AJ26=1,EF_Combustion1,EF_Combustion2),10,0)),IF(LEFT($AI26,2)="이동",VLOOKUP($AK26,EF_Combustion_mobile,10,0),VLOOKUP($AK26,EF_Indirect,10,0))),"Tier3"),""),0)</f>
        <v/>
      </c>
      <c r="AQ26" s="226"/>
      <c r="AR26" s="227" t="str">
        <f>IFERROR(IF($AI26&lt;&gt;"",IF($AJ26&lt;3,IF(RIGHT($AI26,4)="연료연소",IFERROR(VLOOKUP($AK26,IF($AJ26=1,EF_Combustion1,EF_Combustion2),8,0),VLOOKUP(VLOOKUP($AK26,재분류,2,0),IF($AJ26=1,EF_Combustion1,EF_Combustion2),8,0)),IF(LEFT($AI26,2)="이동",VLOOKUP($AK26,EF_Combustion_mobile,8,0),VLOOKUP($AK26,EF_Indirect,8,0))),"Tier3"),""),0)</f>
        <v/>
      </c>
      <c r="AS26" s="228" t="str">
        <f>IFERROR(IF($AI26&lt;&gt;"",IF($AJ26&lt;3,IF(RIGHT($AI26,4)="연료연소",IFERROR(VLOOKUP($AK26,IF($AJ26=1,EF_Combustion1,EF_Combustion2),12,0),VLOOKUP(VLOOKUP($AK26,재분류,2,0),IF($AJ26=1,EF_Combustion1,EF_Combustion2),12,0)),IF(LEFT($AI26,2)="이동",VLOOKUP($AK26,EF_Combustion_mobile,12,0),VLOOKUP($AK26,EF_Indirect,12,0))),"Tier3"),""),0)</f>
        <v/>
      </c>
      <c r="AT26" s="228"/>
      <c r="AU26" s="229" t="str">
        <f>IFERROR(IF($AI26&lt;&gt;"",IF($AJ26&lt;3,IF(RIGHT($AI26,4)="연료연소",IFERROR(VLOOKUP($AK26,IF($AJ26=1,EF_Combustion1,EF_Combustion2),11,0),VLOOKUP(VLOOKUP($AK26,재분류,2,0),IF($AJ26=1,EF_Combustion1,EF_Combustion2),11,0)),IF(LEFT($AI26,2)="이동",VLOOKUP($AK26,EF_Combustion_mobile,11,0),VLOOKUP($AK26,EF_Indirect,11,0))),"Tier3"),""),0)</f>
        <v/>
      </c>
      <c r="AV26" s="230" t="str">
        <f>IFERROR(IF($AI26&lt;&gt;"",IF($AJ26&lt;3,IF(RIGHT($AI26,4)="연료연소",IFERROR(VLOOKUP($AK26,IF($AJ26=1,EF_Combustion1,EF_Combustion2),12+VLOOKUP(적용업종,업종분류,2,0),0),VLOOKUP(VLOOKUP($AK26,재분류,2,0),IF($AJ26=1,EF_Combustion1,EF_Combustion2),12+VLOOKUP(적용업종,업종분류,2,0),0)),IF(LEFT($AI26,2)="이동",VLOOKUP($AK26,EF_Combustion_mobile,12+VLOOKUP(적용업종,업종분류,2,0),0),VLOOKUP($AK26,EF_Indirect,12+VLOOKUP(적용업종,업종분류,2,0),0))),"Tier3"),""),0)</f>
        <v/>
      </c>
      <c r="AW26" s="230"/>
      <c r="AX26" s="229" t="str">
        <f t="shared" si="7"/>
        <v/>
      </c>
      <c r="AY26" s="230" t="str">
        <f>IFERROR(IF($AI26&lt;&gt;"",IF($AJ26&lt;3,IF(RIGHT($AI26,4)="연료연소",IFERROR(VLOOKUP($AK26,IF($AJ26=1,EF_Combustion1,EF_Combustion2),16+VLOOKUP(적용업종,업종분류,3,0),0),VLOOKUP(VLOOKUP($AK26,재분류,2,0),IF($AJ26=1,EF_Combustion1,EF_Combustion2),16+VLOOKUP(적용업종,업종분류,3,0),0)),IF(LEFT($AI26,2)="이동",VLOOKUP($AK26,EF_Combustion_mobile,16+VLOOKUP(적용업종,업종분류,3,0),0),VLOOKUP($AK26,EF_Indirect,16+VLOOKUP(적용업종,업종분류,3,0),0))),"Tier3"),""),0)</f>
        <v/>
      </c>
      <c r="AZ26" s="230"/>
      <c r="BA26" s="225" t="str">
        <f t="shared" si="8"/>
        <v/>
      </c>
      <c r="BB26" s="190" t="str">
        <f t="shared" si="9"/>
        <v/>
      </c>
      <c r="BN26" s="62" t="s">
        <v>222</v>
      </c>
      <c r="BO26" s="595"/>
      <c r="BP26" s="91" t="s">
        <v>204</v>
      </c>
      <c r="BQ26" s="91" t="s">
        <v>310</v>
      </c>
      <c r="BR26" s="91" t="s">
        <v>311</v>
      </c>
      <c r="BS26" s="91"/>
      <c r="BT26" s="91"/>
      <c r="BU26" s="91"/>
      <c r="BV26" s="91"/>
      <c r="BW26" s="91"/>
      <c r="BX26" s="91" t="s">
        <v>312</v>
      </c>
      <c r="BY26" s="91">
        <v>62.8</v>
      </c>
      <c r="BZ26" s="91">
        <v>47.3</v>
      </c>
      <c r="CA26" s="91" t="s">
        <v>207</v>
      </c>
      <c r="CB26" s="92">
        <v>63100</v>
      </c>
      <c r="CC26" s="91">
        <v>1</v>
      </c>
      <c r="CD26" s="91">
        <v>1</v>
      </c>
      <c r="CE26" s="91">
        <v>5</v>
      </c>
      <c r="CF26" s="91">
        <v>5</v>
      </c>
      <c r="CG26" s="91">
        <v>0.1</v>
      </c>
      <c r="CH26" s="91">
        <v>0.1</v>
      </c>
      <c r="CI26" s="4" t="s">
        <v>313</v>
      </c>
      <c r="CJ26" s="4" t="s">
        <v>314</v>
      </c>
      <c r="CK26"/>
      <c r="CL26"/>
      <c r="CM26"/>
      <c r="CN26"/>
      <c r="CO26"/>
      <c r="CP26" s="93" t="s">
        <v>315</v>
      </c>
      <c r="CQ26" s="4">
        <v>2</v>
      </c>
      <c r="CR26" s="4">
        <v>1</v>
      </c>
      <c r="CS26"/>
      <c r="CT26"/>
      <c r="CU26"/>
      <c r="CV26" s="4" t="s">
        <v>316</v>
      </c>
      <c r="CW26" s="4"/>
      <c r="CX26" s="4" t="s">
        <v>289</v>
      </c>
      <c r="CY26" s="4"/>
      <c r="CZ26" s="95"/>
      <c r="DA26"/>
    </row>
    <row r="27" spans="2:107">
      <c r="B27" s="576"/>
      <c r="C27" s="577"/>
      <c r="D27" s="577"/>
      <c r="E27" s="577"/>
      <c r="F27" s="577"/>
      <c r="G27" s="577"/>
      <c r="H27" s="577"/>
      <c r="I27" s="578"/>
      <c r="L27" s="211">
        <v>1</v>
      </c>
      <c r="M27" s="173">
        <f t="shared" si="17"/>
        <v>0</v>
      </c>
      <c r="N27" s="173">
        <f t="shared" si="18"/>
        <v>0</v>
      </c>
      <c r="O27" s="207"/>
      <c r="P27" s="207"/>
      <c r="Q27" s="207"/>
      <c r="R27" s="207"/>
      <c r="S27" s="209"/>
      <c r="T27" s="264"/>
      <c r="U27" s="187" t="str">
        <f t="shared" si="2"/>
        <v/>
      </c>
      <c r="V27" s="188" t="str">
        <f>IFERROR(IF($O27&lt;&gt;"",IF($P27&lt;3,IF(RIGHT($O27,4)="연료연소",IFERROR(VLOOKUP($Q27,IF($P27=1,EF_Combustion1,EF_Combustion2),10,0),VLOOKUP(VLOOKUP($Q27,재분류,2,0),IF($P27=1,EF_Combustion1,EF_Combustion2),10,0)),IF(LEFT($O27,2)="이동",VLOOKUP($Q27,EF_Combustion_mobile,10,0),VLOOKUP($Q27,EF_Indirect,10,0))),"Tier3"),""),0)</f>
        <v/>
      </c>
      <c r="W27" s="226"/>
      <c r="X27" s="227" t="str">
        <f>IFERROR(IF($O27&lt;&gt;"",IF($P27&lt;3,IF(RIGHT($O27,4)="연료연소",IFERROR(VLOOKUP($Q27,IF($P27=1,EF_Combustion1,EF_Combustion2),8,0),VLOOKUP(VLOOKUP($Q27,재분류,2,0),IF($P27=1,EF_Combustion1,EF_Combustion2),8,0)),IF(LEFT($O27,2)="이동",VLOOKUP($Q27,EF_Combustion_mobile,8,0),VLOOKUP($Q27,EF_Indirect,8,0))),"Tier3"),""),0)</f>
        <v/>
      </c>
      <c r="Y27" s="228" t="str">
        <f>IFERROR(IF($O27&lt;&gt;"",IF($P27&lt;3,IF(RIGHT($O27,4)="연료연소",IFERROR(VLOOKUP($Q27,IF($P27=1,EF_Combustion1,EF_Combustion2),12,0),VLOOKUP(VLOOKUP($Q27,재분류,2,0),IF($P27=1,EF_Combustion1,EF_Combustion2),12,0)),IF(LEFT($O27,2)="이동",VLOOKUP($Q27,EF_Combustion_mobile,12,0),VLOOKUP($Q27,EF_Indirect,12,0))),"Tier3"),""),0)</f>
        <v/>
      </c>
      <c r="Z27" s="228"/>
      <c r="AA27" s="229" t="str">
        <f>IFERROR(IF($O27&lt;&gt;"",IF($P27&lt;3,IF(RIGHT($O27,4)="연료연소",IFERROR(VLOOKUP($Q27,IF($P27=1,EF_Combustion1,EF_Combustion2),11,0),VLOOKUP(VLOOKUP($Q27,재분류,2,0),IF($P27=1,EF_Combustion1,EF_Combustion2),11,0)),IF(LEFT($O27,2)="이동",VLOOKUP($Q27,EF_Combustion_mobile,11,0),VLOOKUP($Q27,EF_Indirect,11,0))),"Tier3"),""),0)</f>
        <v/>
      </c>
      <c r="AB27" s="230" t="str">
        <f>IFERROR(IF($O27&lt;&gt;"",IF($P27&lt;3,IF(RIGHT($O27,4)="연료연소",IFERROR(VLOOKUP($Q27,IF($P27=1,EF_Combustion1,EF_Combustion2),12+VLOOKUP(적용업종,업종분류,2,0),0),VLOOKUP(VLOOKUP($Q27,재분류,2,0),IF($P27=1,EF_Combustion1,EF_Combustion2),12+VLOOKUP(적용업종,업종분류,2,0),0)),IF(LEFT($O27,2)="이동",VLOOKUP($Q27,EF_Combustion_mobile,12+VLOOKUP(적용업종,업종분류,2,0),0),VLOOKUP($Q27,EF_Indirect,12+VLOOKUP(적용업종,업종분류,2,0),0))),"Tier3"),""),0)</f>
        <v/>
      </c>
      <c r="AC27" s="230"/>
      <c r="AD27" s="229" t="str">
        <f t="shared" si="3"/>
        <v/>
      </c>
      <c r="AE27" s="230" t="str">
        <f>IFERROR(IF($O27&lt;&gt;"",IF($P27&lt;3,IF(RIGHT($O27,4)="연료연소",IFERROR(VLOOKUP($Q27,IF($P27=1,EF_Combustion1,EF_Combustion2),16+VLOOKUP(적용업종,업종분류,3,0),0),VLOOKUP(VLOOKUP($Q27,재분류,2,0),IF($P27=1,EF_Combustion1,EF_Combustion2),16+VLOOKUP(적용업종,업종분류,3,0),0)),IF(LEFT($O27,2)="이동",VLOOKUP($Q27,EF_Combustion_mobile,16+VLOOKUP(적용업종,업종분류,3,0),0),VLOOKUP($Q27,EF_Indirect,16+VLOOKUP(적용업종,업종분류,3,0),0))),"Tier3"),""),0)</f>
        <v/>
      </c>
      <c r="AF27" s="230"/>
      <c r="AG27" s="225" t="str">
        <f t="shared" si="4"/>
        <v/>
      </c>
      <c r="AH27" s="189" t="str">
        <f t="shared" si="5"/>
        <v/>
      </c>
      <c r="AI27" s="210"/>
      <c r="AJ27" s="207"/>
      <c r="AK27" s="207"/>
      <c r="AL27" s="207"/>
      <c r="AM27" s="209"/>
      <c r="AN27" s="264"/>
      <c r="AO27" s="187" t="str">
        <f t="shared" si="6"/>
        <v/>
      </c>
      <c r="AP27" s="188" t="str">
        <f>IFERROR(IF($AI27&lt;&gt;"",IF($AJ27&lt;3,IF(RIGHT($AI27,4)="연료연소",IFERROR(VLOOKUP($AK27,IF($AJ27=1,EF_Combustion1,EF_Combustion2),10,0),VLOOKUP(VLOOKUP($AK27,재분류,2,0),IF($AJ27=1,EF_Combustion1,EF_Combustion2),10,0)),IF(LEFT($AI27,2)="이동",VLOOKUP($AK27,EF_Combustion_mobile,10,0),VLOOKUP($AK27,EF_Indirect,10,0))),"Tier3"),""),0)</f>
        <v/>
      </c>
      <c r="AQ27" s="226"/>
      <c r="AR27" s="227" t="str">
        <f>IFERROR(IF($AI27&lt;&gt;"",IF($AJ27&lt;3,IF(RIGHT($AI27,4)="연료연소",IFERROR(VLOOKUP($AK27,IF($AJ27=1,EF_Combustion1,EF_Combustion2),8,0),VLOOKUP(VLOOKUP($AK27,재분류,2,0),IF($AJ27=1,EF_Combustion1,EF_Combustion2),8,0)),IF(LEFT($AI27,2)="이동",VLOOKUP($AK27,EF_Combustion_mobile,8,0),VLOOKUP($AK27,EF_Indirect,8,0))),"Tier3"),""),0)</f>
        <v/>
      </c>
      <c r="AS27" s="228" t="str">
        <f>IFERROR(IF($AI27&lt;&gt;"",IF($AJ27&lt;3,IF(RIGHT($AI27,4)="연료연소",IFERROR(VLOOKUP($AK27,IF($AJ27=1,EF_Combustion1,EF_Combustion2),12,0),VLOOKUP(VLOOKUP($AK27,재분류,2,0),IF($AJ27=1,EF_Combustion1,EF_Combustion2),12,0)),IF(LEFT($AI27,2)="이동",VLOOKUP($AK27,EF_Combustion_mobile,12,0),VLOOKUP($AK27,EF_Indirect,12,0))),"Tier3"),""),0)</f>
        <v/>
      </c>
      <c r="AT27" s="228"/>
      <c r="AU27" s="229" t="str">
        <f>IFERROR(IF($AI27&lt;&gt;"",IF($AJ27&lt;3,IF(RIGHT($AI27,4)="연료연소",IFERROR(VLOOKUP($AK27,IF($AJ27=1,EF_Combustion1,EF_Combustion2),11,0),VLOOKUP(VLOOKUP($AK27,재분류,2,0),IF($AJ27=1,EF_Combustion1,EF_Combustion2),11,0)),IF(LEFT($AI27,2)="이동",VLOOKUP($AK27,EF_Combustion_mobile,11,0),VLOOKUP($AK27,EF_Indirect,11,0))),"Tier3"),""),0)</f>
        <v/>
      </c>
      <c r="AV27" s="230" t="str">
        <f>IFERROR(IF($AI27&lt;&gt;"",IF($AJ27&lt;3,IF(RIGHT($AI27,4)="연료연소",IFERROR(VLOOKUP($AK27,IF($AJ27=1,EF_Combustion1,EF_Combustion2),12+VLOOKUP(적용업종,업종분류,2,0),0),VLOOKUP(VLOOKUP($AK27,재분류,2,0),IF($AJ27=1,EF_Combustion1,EF_Combustion2),12+VLOOKUP(적용업종,업종분류,2,0),0)),IF(LEFT($AI27,2)="이동",VLOOKUP($AK27,EF_Combustion_mobile,12+VLOOKUP(적용업종,업종분류,2,0),0),VLOOKUP($AK27,EF_Indirect,12+VLOOKUP(적용업종,업종분류,2,0),0))),"Tier3"),""),0)</f>
        <v/>
      </c>
      <c r="AW27" s="230"/>
      <c r="AX27" s="229" t="str">
        <f t="shared" si="7"/>
        <v/>
      </c>
      <c r="AY27" s="230" t="str">
        <f>IFERROR(IF($AI27&lt;&gt;"",IF($AJ27&lt;3,IF(RIGHT($AI27,4)="연료연소",IFERROR(VLOOKUP($AK27,IF($AJ27=1,EF_Combustion1,EF_Combustion2),16+VLOOKUP(적용업종,업종분류,3,0),0),VLOOKUP(VLOOKUP($AK27,재분류,2,0),IF($AJ27=1,EF_Combustion1,EF_Combustion2),16+VLOOKUP(적용업종,업종분류,3,0),0)),IF(LEFT($AI27,2)="이동",VLOOKUP($AK27,EF_Combustion_mobile,16+VLOOKUP(적용업종,업종분류,3,0),0),VLOOKUP($AK27,EF_Indirect,16+VLOOKUP(적용업종,업종분류,3,0),0))),"Tier3"),""),0)</f>
        <v/>
      </c>
      <c r="AZ27" s="230"/>
      <c r="BA27" s="225" t="str">
        <f t="shared" si="8"/>
        <v/>
      </c>
      <c r="BB27" s="190" t="str">
        <f t="shared" si="9"/>
        <v/>
      </c>
      <c r="BN27" s="62" t="s">
        <v>211</v>
      </c>
      <c r="BO27" s="595"/>
      <c r="BP27" s="91" t="s">
        <v>204</v>
      </c>
      <c r="BQ27" s="91" t="s">
        <v>317</v>
      </c>
      <c r="BR27" s="91" t="s">
        <v>247</v>
      </c>
      <c r="BS27" s="91"/>
      <c r="BT27" s="91"/>
      <c r="BU27" s="91"/>
      <c r="BV27" s="91"/>
      <c r="BW27" s="91"/>
      <c r="BX27" s="91" t="s">
        <v>240</v>
      </c>
      <c r="BY27" s="91">
        <v>10.31</v>
      </c>
      <c r="BZ27" s="91">
        <v>10</v>
      </c>
      <c r="CA27" s="91" t="s">
        <v>207</v>
      </c>
      <c r="CB27" s="92">
        <v>91700</v>
      </c>
      <c r="CC27" s="91">
        <v>30</v>
      </c>
      <c r="CD27" s="91">
        <v>30</v>
      </c>
      <c r="CE27" s="91">
        <v>300</v>
      </c>
      <c r="CF27" s="91">
        <v>300</v>
      </c>
      <c r="CG27" s="91">
        <v>4</v>
      </c>
      <c r="CH27" s="91">
        <v>4</v>
      </c>
      <c r="CI27" s="4" t="s">
        <v>248</v>
      </c>
      <c r="CJ27" s="4"/>
      <c r="CK27"/>
      <c r="CL27"/>
      <c r="CM27"/>
      <c r="CN27"/>
      <c r="CO27"/>
      <c r="CP27" s="93" t="s">
        <v>318</v>
      </c>
      <c r="CQ27" s="4">
        <v>3</v>
      </c>
      <c r="CR27" s="4">
        <v>2</v>
      </c>
      <c r="CS27"/>
      <c r="CT27"/>
      <c r="CU27"/>
      <c r="CV27" s="4" t="s">
        <v>319</v>
      </c>
      <c r="CW27" s="4"/>
      <c r="CX27" s="4" t="s">
        <v>289</v>
      </c>
      <c r="CY27" s="4"/>
      <c r="CZ27" s="95"/>
      <c r="DA27"/>
    </row>
    <row r="28" spans="2:107">
      <c r="B28" s="576"/>
      <c r="C28" s="577"/>
      <c r="D28" s="577"/>
      <c r="E28" s="577"/>
      <c r="F28" s="577"/>
      <c r="G28" s="577"/>
      <c r="H28" s="577"/>
      <c r="I28" s="578"/>
      <c r="L28" s="211">
        <v>1</v>
      </c>
      <c r="M28" s="173">
        <f t="shared" si="17"/>
        <v>0</v>
      </c>
      <c r="N28" s="173">
        <f t="shared" si="18"/>
        <v>0</v>
      </c>
      <c r="O28" s="207"/>
      <c r="P28" s="207"/>
      <c r="Q28" s="207"/>
      <c r="R28" s="207"/>
      <c r="S28" s="209"/>
      <c r="T28" s="264"/>
      <c r="U28" s="187" t="str">
        <f t="shared" si="2"/>
        <v/>
      </c>
      <c r="V28" s="188" t="str">
        <f>IFERROR(IF($O28&lt;&gt;"",IF($P28&lt;3,IF(RIGHT($O28,4)="연료연소",IFERROR(VLOOKUP($Q28,IF($P28=1,EF_Combustion1,EF_Combustion2),10,0),VLOOKUP(VLOOKUP($Q28,재분류,2,0),IF($P28=1,EF_Combustion1,EF_Combustion2),10,0)),IF(LEFT($O28,2)="이동",VLOOKUP($Q28,EF_Combustion_mobile,10,0),VLOOKUP($Q28,EF_Indirect,10,0))),"Tier3"),""),0)</f>
        <v/>
      </c>
      <c r="W28" s="226"/>
      <c r="X28" s="227" t="str">
        <f>IFERROR(IF($O28&lt;&gt;"",IF($P28&lt;3,IF(RIGHT($O28,4)="연료연소",IFERROR(VLOOKUP($Q28,IF($P28=1,EF_Combustion1,EF_Combustion2),8,0),VLOOKUP(VLOOKUP($Q28,재분류,2,0),IF($P28=1,EF_Combustion1,EF_Combustion2),8,0)),IF(LEFT($O28,2)="이동",VLOOKUP($Q28,EF_Combustion_mobile,8,0),VLOOKUP($Q28,EF_Indirect,8,0))),"Tier3"),""),0)</f>
        <v/>
      </c>
      <c r="Y28" s="228" t="str">
        <f>IFERROR(IF($O28&lt;&gt;"",IF($P28&lt;3,IF(RIGHT($O28,4)="연료연소",IFERROR(VLOOKUP($Q28,IF($P28=1,EF_Combustion1,EF_Combustion2),12,0),VLOOKUP(VLOOKUP($Q28,재분류,2,0),IF($P28=1,EF_Combustion1,EF_Combustion2),12,0)),IF(LEFT($O28,2)="이동",VLOOKUP($Q28,EF_Combustion_mobile,12,0),VLOOKUP($Q28,EF_Indirect,12,0))),"Tier3"),""),0)</f>
        <v/>
      </c>
      <c r="Z28" s="228"/>
      <c r="AA28" s="229" t="str">
        <f>IFERROR(IF($O28&lt;&gt;"",IF($P28&lt;3,IF(RIGHT($O28,4)="연료연소",IFERROR(VLOOKUP($Q28,IF($P28=1,EF_Combustion1,EF_Combustion2),11,0),VLOOKUP(VLOOKUP($Q28,재분류,2,0),IF($P28=1,EF_Combustion1,EF_Combustion2),11,0)),IF(LEFT($O28,2)="이동",VLOOKUP($Q28,EF_Combustion_mobile,11,0),VLOOKUP($Q28,EF_Indirect,11,0))),"Tier3"),""),0)</f>
        <v/>
      </c>
      <c r="AB28" s="230" t="str">
        <f>IFERROR(IF($O28&lt;&gt;"",IF($P28&lt;3,IF(RIGHT($O28,4)="연료연소",IFERROR(VLOOKUP($Q28,IF($P28=1,EF_Combustion1,EF_Combustion2),12+VLOOKUP(적용업종,업종분류,2,0),0),VLOOKUP(VLOOKUP($Q28,재분류,2,0),IF($P28=1,EF_Combustion1,EF_Combustion2),12+VLOOKUP(적용업종,업종분류,2,0),0)),IF(LEFT($O28,2)="이동",VLOOKUP($Q28,EF_Combustion_mobile,12+VLOOKUP(적용업종,업종분류,2,0),0),VLOOKUP($Q28,EF_Indirect,12+VLOOKUP(적용업종,업종분류,2,0),0))),"Tier3"),""),0)</f>
        <v/>
      </c>
      <c r="AC28" s="230"/>
      <c r="AD28" s="229" t="str">
        <f t="shared" si="3"/>
        <v/>
      </c>
      <c r="AE28" s="230" t="str">
        <f>IFERROR(IF($O28&lt;&gt;"",IF($P28&lt;3,IF(RIGHT($O28,4)="연료연소",IFERROR(VLOOKUP($Q28,IF($P28=1,EF_Combustion1,EF_Combustion2),16+VLOOKUP(적용업종,업종분류,3,0),0),VLOOKUP(VLOOKUP($Q28,재분류,2,0),IF($P28=1,EF_Combustion1,EF_Combustion2),16+VLOOKUP(적용업종,업종분류,3,0),0)),IF(LEFT($O28,2)="이동",VLOOKUP($Q28,EF_Combustion_mobile,16+VLOOKUP(적용업종,업종분류,3,0),0),VLOOKUP($Q28,EF_Indirect,16+VLOOKUP(적용업종,업종분류,3,0),0))),"Tier3"),""),0)</f>
        <v/>
      </c>
      <c r="AF28" s="230"/>
      <c r="AG28" s="225" t="str">
        <f t="shared" si="4"/>
        <v/>
      </c>
      <c r="AH28" s="189" t="str">
        <f t="shared" si="5"/>
        <v/>
      </c>
      <c r="AI28" s="210"/>
      <c r="AJ28" s="207"/>
      <c r="AK28" s="207"/>
      <c r="AL28" s="207"/>
      <c r="AM28" s="209"/>
      <c r="AN28" s="264"/>
      <c r="AO28" s="187" t="str">
        <f t="shared" si="6"/>
        <v/>
      </c>
      <c r="AP28" s="188" t="str">
        <f>IFERROR(IF($AI28&lt;&gt;"",IF($AJ28&lt;3,IF(RIGHT($AI28,4)="연료연소",IFERROR(VLOOKUP($AK28,IF($AJ28=1,EF_Combustion1,EF_Combustion2),10,0),VLOOKUP(VLOOKUP($AK28,재분류,2,0),IF($AJ28=1,EF_Combustion1,EF_Combustion2),10,0)),IF(LEFT($AI28,2)="이동",VLOOKUP($AK28,EF_Combustion_mobile,10,0),VLOOKUP($AK28,EF_Indirect,10,0))),"Tier3"),""),0)</f>
        <v/>
      </c>
      <c r="AQ28" s="226"/>
      <c r="AR28" s="227" t="str">
        <f>IFERROR(IF($AI28&lt;&gt;"",IF($AJ28&lt;3,IF(RIGHT($AI28,4)="연료연소",IFERROR(VLOOKUP($AK28,IF($AJ28=1,EF_Combustion1,EF_Combustion2),8,0),VLOOKUP(VLOOKUP($AK28,재분류,2,0),IF($AJ28=1,EF_Combustion1,EF_Combustion2),8,0)),IF(LEFT($AI28,2)="이동",VLOOKUP($AK28,EF_Combustion_mobile,8,0),VLOOKUP($AK28,EF_Indirect,8,0))),"Tier3"),""),0)</f>
        <v/>
      </c>
      <c r="AS28" s="228" t="str">
        <f>IFERROR(IF($AI28&lt;&gt;"",IF($AJ28&lt;3,IF(RIGHT($AI28,4)="연료연소",IFERROR(VLOOKUP($AK28,IF($AJ28=1,EF_Combustion1,EF_Combustion2),12,0),VLOOKUP(VLOOKUP($AK28,재분류,2,0),IF($AJ28=1,EF_Combustion1,EF_Combustion2),12,0)),IF(LEFT($AI28,2)="이동",VLOOKUP($AK28,EF_Combustion_mobile,12,0),VLOOKUP($AK28,EF_Indirect,12,0))),"Tier3"),""),0)</f>
        <v/>
      </c>
      <c r="AT28" s="228"/>
      <c r="AU28" s="229" t="str">
        <f>IFERROR(IF($AI28&lt;&gt;"",IF($AJ28&lt;3,IF(RIGHT($AI28,4)="연료연소",IFERROR(VLOOKUP($AK28,IF($AJ28=1,EF_Combustion1,EF_Combustion2),11,0),VLOOKUP(VLOOKUP($AK28,재분류,2,0),IF($AJ28=1,EF_Combustion1,EF_Combustion2),11,0)),IF(LEFT($AI28,2)="이동",VLOOKUP($AK28,EF_Combustion_mobile,11,0),VLOOKUP($AK28,EF_Indirect,11,0))),"Tier3"),""),0)</f>
        <v/>
      </c>
      <c r="AV28" s="230" t="str">
        <f>IFERROR(IF($AI28&lt;&gt;"",IF($AJ28&lt;3,IF(RIGHT($AI28,4)="연료연소",IFERROR(VLOOKUP($AK28,IF($AJ28=1,EF_Combustion1,EF_Combustion2),12+VLOOKUP(적용업종,업종분류,2,0),0),VLOOKUP(VLOOKUP($AK28,재분류,2,0),IF($AJ28=1,EF_Combustion1,EF_Combustion2),12+VLOOKUP(적용업종,업종분류,2,0),0)),IF(LEFT($AI28,2)="이동",VLOOKUP($AK28,EF_Combustion_mobile,12+VLOOKUP(적용업종,업종분류,2,0),0),VLOOKUP($AK28,EF_Indirect,12+VLOOKUP(적용업종,업종분류,2,0),0))),"Tier3"),""),0)</f>
        <v/>
      </c>
      <c r="AW28" s="230"/>
      <c r="AX28" s="229" t="str">
        <f t="shared" si="7"/>
        <v/>
      </c>
      <c r="AY28" s="230" t="str">
        <f>IFERROR(IF($AI28&lt;&gt;"",IF($AJ28&lt;3,IF(RIGHT($AI28,4)="연료연소",IFERROR(VLOOKUP($AK28,IF($AJ28=1,EF_Combustion1,EF_Combustion2),16+VLOOKUP(적용업종,업종분류,3,0),0),VLOOKUP(VLOOKUP($AK28,재분류,2,0),IF($AJ28=1,EF_Combustion1,EF_Combustion2),16+VLOOKUP(적용업종,업종분류,3,0),0)),IF(LEFT($AI28,2)="이동",VLOOKUP($AK28,EF_Combustion_mobile,16+VLOOKUP(적용업종,업종분류,3,0),0),VLOOKUP($AK28,EF_Indirect,16+VLOOKUP(적용업종,업종분류,3,0),0))),"Tier3"),""),0)</f>
        <v/>
      </c>
      <c r="AZ28" s="230"/>
      <c r="BA28" s="225" t="str">
        <f t="shared" si="8"/>
        <v/>
      </c>
      <c r="BB28" s="190" t="str">
        <f t="shared" si="9"/>
        <v/>
      </c>
      <c r="BN28" s="62" t="s">
        <v>222</v>
      </c>
      <c r="BO28" s="595"/>
      <c r="BP28" s="91" t="s">
        <v>204</v>
      </c>
      <c r="BQ28" s="91" t="s">
        <v>320</v>
      </c>
      <c r="BR28" s="91" t="s">
        <v>276</v>
      </c>
      <c r="BS28" s="91"/>
      <c r="BT28" s="91"/>
      <c r="BU28" s="91"/>
      <c r="BV28" s="91"/>
      <c r="BW28" s="91"/>
      <c r="BX28" s="91" t="s">
        <v>240</v>
      </c>
      <c r="BY28" s="91">
        <v>50.4</v>
      </c>
      <c r="BZ28" s="91">
        <v>50.4</v>
      </c>
      <c r="CA28" s="91" t="s">
        <v>207</v>
      </c>
      <c r="CB28" s="92">
        <v>54600</v>
      </c>
      <c r="CC28" s="91">
        <v>1</v>
      </c>
      <c r="CD28" s="91">
        <v>1</v>
      </c>
      <c r="CE28" s="91">
        <v>5</v>
      </c>
      <c r="CF28" s="91">
        <v>5</v>
      </c>
      <c r="CG28" s="91">
        <v>0.1</v>
      </c>
      <c r="CH28" s="91">
        <v>0.1</v>
      </c>
      <c r="CI28" s="4" t="s">
        <v>321</v>
      </c>
      <c r="CJ28" s="4"/>
      <c r="CK28"/>
      <c r="CL28"/>
      <c r="CM28"/>
      <c r="CN28"/>
      <c r="CO28"/>
      <c r="CP28" s="93" t="s">
        <v>289</v>
      </c>
      <c r="CQ28" s="4">
        <v>4</v>
      </c>
      <c r="CR28" s="4">
        <v>2</v>
      </c>
      <c r="CS28"/>
      <c r="CT28"/>
      <c r="CU28"/>
      <c r="CV28" s="4" t="s">
        <v>322</v>
      </c>
      <c r="CW28" s="4"/>
      <c r="CX28" s="4" t="s">
        <v>289</v>
      </c>
      <c r="CY28" s="4"/>
      <c r="CZ28" s="95"/>
      <c r="DA28"/>
    </row>
    <row r="29" spans="2:107">
      <c r="B29" s="576"/>
      <c r="C29" s="577"/>
      <c r="D29" s="577"/>
      <c r="E29" s="577"/>
      <c r="F29" s="577"/>
      <c r="G29" s="577"/>
      <c r="H29" s="577"/>
      <c r="I29" s="578"/>
      <c r="L29" s="211">
        <v>1</v>
      </c>
      <c r="M29" s="173">
        <f t="shared" si="17"/>
        <v>0</v>
      </c>
      <c r="N29" s="173">
        <f t="shared" si="18"/>
        <v>0</v>
      </c>
      <c r="O29" s="207"/>
      <c r="P29" s="207"/>
      <c r="Q29" s="207"/>
      <c r="R29" s="207"/>
      <c r="S29" s="209"/>
      <c r="T29" s="264"/>
      <c r="U29" s="187" t="str">
        <f t="shared" si="2"/>
        <v/>
      </c>
      <c r="V29" s="188" t="str">
        <f>IFERROR(IF($O29&lt;&gt;"",IF($P29&lt;3,IF(RIGHT($O29,4)="연료연소",IFERROR(VLOOKUP($Q29,IF($P29=1,EF_Combustion1,EF_Combustion2),10,0),VLOOKUP(VLOOKUP($Q29,재분류,2,0),IF($P29=1,EF_Combustion1,EF_Combustion2),10,0)),IF(LEFT($O29,2)="이동",VLOOKUP($Q29,EF_Combustion_mobile,10,0),VLOOKUP($Q29,EF_Indirect,10,0))),"Tier3"),""),0)</f>
        <v/>
      </c>
      <c r="W29" s="226"/>
      <c r="X29" s="227" t="str">
        <f>IFERROR(IF($O29&lt;&gt;"",IF($P29&lt;3,IF(RIGHT($O29,4)="연료연소",IFERROR(VLOOKUP($Q29,IF($P29=1,EF_Combustion1,EF_Combustion2),8,0),VLOOKUP(VLOOKUP($Q29,재분류,2,0),IF($P29=1,EF_Combustion1,EF_Combustion2),8,0)),IF(LEFT($O29,2)="이동",VLOOKUP($Q29,EF_Combustion_mobile,8,0),VLOOKUP($Q29,EF_Indirect,8,0))),"Tier3"),""),0)</f>
        <v/>
      </c>
      <c r="Y29" s="228" t="str">
        <f>IFERROR(IF($O29&lt;&gt;"",IF($P29&lt;3,IF(RIGHT($O29,4)="연료연소",IFERROR(VLOOKUP($Q29,IF($P29=1,EF_Combustion1,EF_Combustion2),12,0),VLOOKUP(VLOOKUP($Q29,재분류,2,0),IF($P29=1,EF_Combustion1,EF_Combustion2),12,0)),IF(LEFT($O29,2)="이동",VLOOKUP($Q29,EF_Combustion_mobile,12,0),VLOOKUP($Q29,EF_Indirect,12,0))),"Tier3"),""),0)</f>
        <v/>
      </c>
      <c r="Z29" s="228"/>
      <c r="AA29" s="229" t="str">
        <f>IFERROR(IF($O29&lt;&gt;"",IF($P29&lt;3,IF(RIGHT($O29,4)="연료연소",IFERROR(VLOOKUP($Q29,IF($P29=1,EF_Combustion1,EF_Combustion2),11,0),VLOOKUP(VLOOKUP($Q29,재분류,2,0),IF($P29=1,EF_Combustion1,EF_Combustion2),11,0)),IF(LEFT($O29,2)="이동",VLOOKUP($Q29,EF_Combustion_mobile,11,0),VLOOKUP($Q29,EF_Indirect,11,0))),"Tier3"),""),0)</f>
        <v/>
      </c>
      <c r="AB29" s="230" t="str">
        <f>IFERROR(IF($O29&lt;&gt;"",IF($P29&lt;3,IF(RIGHT($O29,4)="연료연소",IFERROR(VLOOKUP($Q29,IF($P29=1,EF_Combustion1,EF_Combustion2),12+VLOOKUP(적용업종,업종분류,2,0),0),VLOOKUP(VLOOKUP($Q29,재분류,2,0),IF($P29=1,EF_Combustion1,EF_Combustion2),12+VLOOKUP(적용업종,업종분류,2,0),0)),IF(LEFT($O29,2)="이동",VLOOKUP($Q29,EF_Combustion_mobile,12+VLOOKUP(적용업종,업종분류,2,0),0),VLOOKUP($Q29,EF_Indirect,12+VLOOKUP(적용업종,업종분류,2,0),0))),"Tier3"),""),0)</f>
        <v/>
      </c>
      <c r="AC29" s="230"/>
      <c r="AD29" s="229" t="str">
        <f t="shared" si="3"/>
        <v/>
      </c>
      <c r="AE29" s="230" t="str">
        <f>IFERROR(IF($O29&lt;&gt;"",IF($P29&lt;3,IF(RIGHT($O29,4)="연료연소",IFERROR(VLOOKUP($Q29,IF($P29=1,EF_Combustion1,EF_Combustion2),16+VLOOKUP(적용업종,업종분류,3,0),0),VLOOKUP(VLOOKUP($Q29,재분류,2,0),IF($P29=1,EF_Combustion1,EF_Combustion2),16+VLOOKUP(적용업종,업종분류,3,0),0)),IF(LEFT($O29,2)="이동",VLOOKUP($Q29,EF_Combustion_mobile,16+VLOOKUP(적용업종,업종분류,3,0),0),VLOOKUP($Q29,EF_Indirect,16+VLOOKUP(적용업종,업종분류,3,0),0))),"Tier3"),""),0)</f>
        <v/>
      </c>
      <c r="AF29" s="230"/>
      <c r="AG29" s="225" t="str">
        <f t="shared" si="4"/>
        <v/>
      </c>
      <c r="AH29" s="189" t="str">
        <f t="shared" si="5"/>
        <v/>
      </c>
      <c r="AI29" s="210"/>
      <c r="AJ29" s="207"/>
      <c r="AK29" s="207"/>
      <c r="AL29" s="207"/>
      <c r="AM29" s="209"/>
      <c r="AN29" s="264"/>
      <c r="AO29" s="187" t="str">
        <f t="shared" si="6"/>
        <v/>
      </c>
      <c r="AP29" s="188" t="str">
        <f>IFERROR(IF($AI29&lt;&gt;"",IF($AJ29&lt;3,IF(RIGHT($AI29,4)="연료연소",IFERROR(VLOOKUP($AK29,IF($AJ29=1,EF_Combustion1,EF_Combustion2),10,0),VLOOKUP(VLOOKUP($AK29,재분류,2,0),IF($AJ29=1,EF_Combustion1,EF_Combustion2),10,0)),IF(LEFT($AI29,2)="이동",VLOOKUP($AK29,EF_Combustion_mobile,10,0),VLOOKUP($AK29,EF_Indirect,10,0))),"Tier3"),""),0)</f>
        <v/>
      </c>
      <c r="AQ29" s="226"/>
      <c r="AR29" s="227" t="str">
        <f>IFERROR(IF($AI29&lt;&gt;"",IF($AJ29&lt;3,IF(RIGHT($AI29,4)="연료연소",IFERROR(VLOOKUP($AK29,IF($AJ29=1,EF_Combustion1,EF_Combustion2),8,0),VLOOKUP(VLOOKUP($AK29,재분류,2,0),IF($AJ29=1,EF_Combustion1,EF_Combustion2),8,0)),IF(LEFT($AI29,2)="이동",VLOOKUP($AK29,EF_Combustion_mobile,8,0),VLOOKUP($AK29,EF_Indirect,8,0))),"Tier3"),""),0)</f>
        <v/>
      </c>
      <c r="AS29" s="228" t="str">
        <f>IFERROR(IF($AI29&lt;&gt;"",IF($AJ29&lt;3,IF(RIGHT($AI29,4)="연료연소",IFERROR(VLOOKUP($AK29,IF($AJ29=1,EF_Combustion1,EF_Combustion2),12,0),VLOOKUP(VLOOKUP($AK29,재분류,2,0),IF($AJ29=1,EF_Combustion1,EF_Combustion2),12,0)),IF(LEFT($AI29,2)="이동",VLOOKUP($AK29,EF_Combustion_mobile,12,0),VLOOKUP($AK29,EF_Indirect,12,0))),"Tier3"),""),0)</f>
        <v/>
      </c>
      <c r="AT29" s="228"/>
      <c r="AU29" s="229" t="str">
        <f>IFERROR(IF($AI29&lt;&gt;"",IF($AJ29&lt;3,IF(RIGHT($AI29,4)="연료연소",IFERROR(VLOOKUP($AK29,IF($AJ29=1,EF_Combustion1,EF_Combustion2),11,0),VLOOKUP(VLOOKUP($AK29,재분류,2,0),IF($AJ29=1,EF_Combustion1,EF_Combustion2),11,0)),IF(LEFT($AI29,2)="이동",VLOOKUP($AK29,EF_Combustion_mobile,11,0),VLOOKUP($AK29,EF_Indirect,11,0))),"Tier3"),""),0)</f>
        <v/>
      </c>
      <c r="AV29" s="230" t="str">
        <f>IFERROR(IF($AI29&lt;&gt;"",IF($AJ29&lt;3,IF(RIGHT($AI29,4)="연료연소",IFERROR(VLOOKUP($AK29,IF($AJ29=1,EF_Combustion1,EF_Combustion2),12+VLOOKUP(적용업종,업종분류,2,0),0),VLOOKUP(VLOOKUP($AK29,재분류,2,0),IF($AJ29=1,EF_Combustion1,EF_Combustion2),12+VLOOKUP(적용업종,업종분류,2,0),0)),IF(LEFT($AI29,2)="이동",VLOOKUP($AK29,EF_Combustion_mobile,12+VLOOKUP(적용업종,업종분류,2,0),0),VLOOKUP($AK29,EF_Indirect,12+VLOOKUP(적용업종,업종분류,2,0),0))),"Tier3"),""),0)</f>
        <v/>
      </c>
      <c r="AW29" s="230"/>
      <c r="AX29" s="229" t="str">
        <f t="shared" si="7"/>
        <v/>
      </c>
      <c r="AY29" s="230" t="str">
        <f>IFERROR(IF($AI29&lt;&gt;"",IF($AJ29&lt;3,IF(RIGHT($AI29,4)="연료연소",IFERROR(VLOOKUP($AK29,IF($AJ29=1,EF_Combustion1,EF_Combustion2),16+VLOOKUP(적용업종,업종분류,3,0),0),VLOOKUP(VLOOKUP($AK29,재분류,2,0),IF($AJ29=1,EF_Combustion1,EF_Combustion2),16+VLOOKUP(적용업종,업종분류,3,0),0)),IF(LEFT($AI29,2)="이동",VLOOKUP($AK29,EF_Combustion_mobile,16+VLOOKUP(적용업종,업종분류,3,0),0),VLOOKUP($AK29,EF_Indirect,16+VLOOKUP(적용업종,업종분류,3,0),0))),"Tier3"),""),0)</f>
        <v/>
      </c>
      <c r="AZ29" s="230"/>
      <c r="BA29" s="225" t="str">
        <f t="shared" si="8"/>
        <v/>
      </c>
      <c r="BB29" s="190" t="str">
        <f t="shared" si="9"/>
        <v/>
      </c>
      <c r="BN29" s="62" t="s">
        <v>222</v>
      </c>
      <c r="BO29" s="595"/>
      <c r="BP29" s="91" t="s">
        <v>204</v>
      </c>
      <c r="BQ29" s="91" t="s">
        <v>323</v>
      </c>
      <c r="BR29" s="91" t="s">
        <v>276</v>
      </c>
      <c r="BS29" s="91"/>
      <c r="BT29" s="91"/>
      <c r="BU29" s="91"/>
      <c r="BV29" s="91"/>
      <c r="BW29" s="91"/>
      <c r="BX29" s="91" t="s">
        <v>312</v>
      </c>
      <c r="BY29" s="91">
        <v>50.4</v>
      </c>
      <c r="BZ29" s="91">
        <v>50.4</v>
      </c>
      <c r="CA29" s="91" t="s">
        <v>207</v>
      </c>
      <c r="CB29" s="92">
        <v>54600</v>
      </c>
      <c r="CC29" s="91">
        <v>1</v>
      </c>
      <c r="CD29" s="91">
        <v>1</v>
      </c>
      <c r="CE29" s="91">
        <v>5</v>
      </c>
      <c r="CF29" s="91">
        <v>5</v>
      </c>
      <c r="CG29" s="91">
        <v>0.1</v>
      </c>
      <c r="CH29" s="91">
        <v>0.1</v>
      </c>
      <c r="CI29" s="91"/>
      <c r="CJ29" s="91"/>
      <c r="CK29"/>
      <c r="CL29"/>
      <c r="CM29"/>
      <c r="CN29"/>
      <c r="CO29"/>
      <c r="CP29"/>
      <c r="CQ29"/>
      <c r="CR29"/>
      <c r="CS29"/>
      <c r="CT29"/>
      <c r="CU29"/>
      <c r="CV29" s="4" t="s">
        <v>324</v>
      </c>
      <c r="CW29" s="4"/>
      <c r="CX29" s="4" t="s">
        <v>289</v>
      </c>
      <c r="CY29" s="4"/>
      <c r="CZ29" s="95"/>
      <c r="DA29"/>
    </row>
    <row r="30" spans="2:107" ht="17.25" thickBot="1">
      <c r="B30" s="579"/>
      <c r="C30" s="580"/>
      <c r="D30" s="580"/>
      <c r="E30" s="580"/>
      <c r="F30" s="580"/>
      <c r="G30" s="580"/>
      <c r="H30" s="580"/>
      <c r="I30" s="581"/>
      <c r="L30" s="211">
        <v>1</v>
      </c>
      <c r="M30" s="173">
        <f t="shared" si="17"/>
        <v>0</v>
      </c>
      <c r="N30" s="173">
        <f t="shared" si="18"/>
        <v>0</v>
      </c>
      <c r="O30" s="207"/>
      <c r="P30" s="207"/>
      <c r="Q30" s="207"/>
      <c r="R30" s="207"/>
      <c r="S30" s="209"/>
      <c r="T30" s="264"/>
      <c r="U30" s="187" t="str">
        <f t="shared" si="2"/>
        <v/>
      </c>
      <c r="V30" s="188" t="str">
        <f>IFERROR(IF($O30&lt;&gt;"",IF($P30&lt;3,IF(RIGHT($O30,4)="연료연소",IFERROR(VLOOKUP($Q30,IF($P30=1,EF_Combustion1,EF_Combustion2),10,0),VLOOKUP(VLOOKUP($Q30,재분류,2,0),IF($P30=1,EF_Combustion1,EF_Combustion2),10,0)),IF(LEFT($O30,2)="이동",VLOOKUP($Q30,EF_Combustion_mobile,10,0),VLOOKUP($Q30,EF_Indirect,10,0))),"Tier3"),""),0)</f>
        <v/>
      </c>
      <c r="W30" s="226"/>
      <c r="X30" s="227" t="str">
        <f>IFERROR(IF($O30&lt;&gt;"",IF($P30&lt;3,IF(RIGHT($O30,4)="연료연소",IFERROR(VLOOKUP($Q30,IF($P30=1,EF_Combustion1,EF_Combustion2),8,0),VLOOKUP(VLOOKUP($Q30,재분류,2,0),IF($P30=1,EF_Combustion1,EF_Combustion2),8,0)),IF(LEFT($O30,2)="이동",VLOOKUP($Q30,EF_Combustion_mobile,8,0),VLOOKUP($Q30,EF_Indirect,8,0))),"Tier3"),""),0)</f>
        <v/>
      </c>
      <c r="Y30" s="228" t="str">
        <f>IFERROR(IF($O30&lt;&gt;"",IF($P30&lt;3,IF(RIGHT($O30,4)="연료연소",IFERROR(VLOOKUP($Q30,IF($P30=1,EF_Combustion1,EF_Combustion2),12,0),VLOOKUP(VLOOKUP($Q30,재분류,2,0),IF($P30=1,EF_Combustion1,EF_Combustion2),12,0)),IF(LEFT($O30,2)="이동",VLOOKUP($Q30,EF_Combustion_mobile,12,0),VLOOKUP($Q30,EF_Indirect,12,0))),"Tier3"),""),0)</f>
        <v/>
      </c>
      <c r="Z30" s="228"/>
      <c r="AA30" s="229" t="str">
        <f>IFERROR(IF($O30&lt;&gt;"",IF($P30&lt;3,IF(RIGHT($O30,4)="연료연소",IFERROR(VLOOKUP($Q30,IF($P30=1,EF_Combustion1,EF_Combustion2),11,0),VLOOKUP(VLOOKUP($Q30,재분류,2,0),IF($P30=1,EF_Combustion1,EF_Combustion2),11,0)),IF(LEFT($O30,2)="이동",VLOOKUP($Q30,EF_Combustion_mobile,11,0),VLOOKUP($Q30,EF_Indirect,11,0))),"Tier3"),""),0)</f>
        <v/>
      </c>
      <c r="AB30" s="230" t="str">
        <f>IFERROR(IF($O30&lt;&gt;"",IF($P30&lt;3,IF(RIGHT($O30,4)="연료연소",IFERROR(VLOOKUP($Q30,IF($P30=1,EF_Combustion1,EF_Combustion2),12+VLOOKUP(적용업종,업종분류,2,0),0),VLOOKUP(VLOOKUP($Q30,재분류,2,0),IF($P30=1,EF_Combustion1,EF_Combustion2),12+VLOOKUP(적용업종,업종분류,2,0),0)),IF(LEFT($O30,2)="이동",VLOOKUP($Q30,EF_Combustion_mobile,12+VLOOKUP(적용업종,업종분류,2,0),0),VLOOKUP($Q30,EF_Indirect,12+VLOOKUP(적용업종,업종분류,2,0),0))),"Tier3"),""),0)</f>
        <v/>
      </c>
      <c r="AC30" s="230"/>
      <c r="AD30" s="229" t="str">
        <f t="shared" si="3"/>
        <v/>
      </c>
      <c r="AE30" s="230" t="str">
        <f>IFERROR(IF($O30&lt;&gt;"",IF($P30&lt;3,IF(RIGHT($O30,4)="연료연소",IFERROR(VLOOKUP($Q30,IF($P30=1,EF_Combustion1,EF_Combustion2),16+VLOOKUP(적용업종,업종분류,3,0),0),VLOOKUP(VLOOKUP($Q30,재분류,2,0),IF($P30=1,EF_Combustion1,EF_Combustion2),16+VLOOKUP(적용업종,업종분류,3,0),0)),IF(LEFT($O30,2)="이동",VLOOKUP($Q30,EF_Combustion_mobile,16+VLOOKUP(적용업종,업종분류,3,0),0),VLOOKUP($Q30,EF_Indirect,16+VLOOKUP(적용업종,업종분류,3,0),0))),"Tier3"),""),0)</f>
        <v/>
      </c>
      <c r="AF30" s="230"/>
      <c r="AG30" s="225" t="str">
        <f t="shared" si="4"/>
        <v/>
      </c>
      <c r="AH30" s="189" t="str">
        <f t="shared" si="5"/>
        <v/>
      </c>
      <c r="AI30" s="210"/>
      <c r="AJ30" s="207"/>
      <c r="AK30" s="207"/>
      <c r="AL30" s="207"/>
      <c r="AM30" s="209"/>
      <c r="AN30" s="264"/>
      <c r="AO30" s="187" t="str">
        <f t="shared" si="6"/>
        <v/>
      </c>
      <c r="AP30" s="188" t="str">
        <f>IFERROR(IF($AI30&lt;&gt;"",IF($AJ30&lt;3,IF(RIGHT($AI30,4)="연료연소",IFERROR(VLOOKUP($AK30,IF($AJ30=1,EF_Combustion1,EF_Combustion2),10,0),VLOOKUP(VLOOKUP($AK30,재분류,2,0),IF($AJ30=1,EF_Combustion1,EF_Combustion2),10,0)),IF(LEFT($AI30,2)="이동",VLOOKUP($AK30,EF_Combustion_mobile,10,0),VLOOKUP($AK30,EF_Indirect,10,0))),"Tier3"),""),0)</f>
        <v/>
      </c>
      <c r="AQ30" s="226"/>
      <c r="AR30" s="227" t="str">
        <f>IFERROR(IF($AI30&lt;&gt;"",IF($AJ30&lt;3,IF(RIGHT($AI30,4)="연료연소",IFERROR(VLOOKUP($AK30,IF($AJ30=1,EF_Combustion1,EF_Combustion2),8,0),VLOOKUP(VLOOKUP($AK30,재분류,2,0),IF($AJ30=1,EF_Combustion1,EF_Combustion2),8,0)),IF(LEFT($AI30,2)="이동",VLOOKUP($AK30,EF_Combustion_mobile,8,0),VLOOKUP($AK30,EF_Indirect,8,0))),"Tier3"),""),0)</f>
        <v/>
      </c>
      <c r="AS30" s="228" t="str">
        <f>IFERROR(IF($AI30&lt;&gt;"",IF($AJ30&lt;3,IF(RIGHT($AI30,4)="연료연소",IFERROR(VLOOKUP($AK30,IF($AJ30=1,EF_Combustion1,EF_Combustion2),12,0),VLOOKUP(VLOOKUP($AK30,재분류,2,0),IF($AJ30=1,EF_Combustion1,EF_Combustion2),12,0)),IF(LEFT($AI30,2)="이동",VLOOKUP($AK30,EF_Combustion_mobile,12,0),VLOOKUP($AK30,EF_Indirect,12,0))),"Tier3"),""),0)</f>
        <v/>
      </c>
      <c r="AT30" s="228"/>
      <c r="AU30" s="229" t="str">
        <f>IFERROR(IF($AI30&lt;&gt;"",IF($AJ30&lt;3,IF(RIGHT($AI30,4)="연료연소",IFERROR(VLOOKUP($AK30,IF($AJ30=1,EF_Combustion1,EF_Combustion2),11,0),VLOOKUP(VLOOKUP($AK30,재분류,2,0),IF($AJ30=1,EF_Combustion1,EF_Combustion2),11,0)),IF(LEFT($AI30,2)="이동",VLOOKUP($AK30,EF_Combustion_mobile,11,0),VLOOKUP($AK30,EF_Indirect,11,0))),"Tier3"),""),0)</f>
        <v/>
      </c>
      <c r="AV30" s="230" t="str">
        <f>IFERROR(IF($AI30&lt;&gt;"",IF($AJ30&lt;3,IF(RIGHT($AI30,4)="연료연소",IFERROR(VLOOKUP($AK30,IF($AJ30=1,EF_Combustion1,EF_Combustion2),12+VLOOKUP(적용업종,업종분류,2,0),0),VLOOKUP(VLOOKUP($AK30,재분류,2,0),IF($AJ30=1,EF_Combustion1,EF_Combustion2),12+VLOOKUP(적용업종,업종분류,2,0),0)),IF(LEFT($AI30,2)="이동",VLOOKUP($AK30,EF_Combustion_mobile,12+VLOOKUP(적용업종,업종분류,2,0),0),VLOOKUP($AK30,EF_Indirect,12+VLOOKUP(적용업종,업종분류,2,0),0))),"Tier3"),""),0)</f>
        <v/>
      </c>
      <c r="AW30" s="230"/>
      <c r="AX30" s="229" t="str">
        <f t="shared" si="7"/>
        <v/>
      </c>
      <c r="AY30" s="230" t="str">
        <f>IFERROR(IF($AI30&lt;&gt;"",IF($AJ30&lt;3,IF(RIGHT($AI30,4)="연료연소",IFERROR(VLOOKUP($AK30,IF($AJ30=1,EF_Combustion1,EF_Combustion2),16+VLOOKUP(적용업종,업종분류,3,0),0),VLOOKUP(VLOOKUP($AK30,재분류,2,0),IF($AJ30=1,EF_Combustion1,EF_Combustion2),16+VLOOKUP(적용업종,업종분류,3,0),0)),IF(LEFT($AI30,2)="이동",VLOOKUP($AK30,EF_Combustion_mobile,16+VLOOKUP(적용업종,업종분류,3,0),0),VLOOKUP($AK30,EF_Indirect,16+VLOOKUP(적용업종,업종분류,3,0),0))),"Tier3"),""),0)</f>
        <v/>
      </c>
      <c r="AZ30" s="230"/>
      <c r="BA30" s="225" t="str">
        <f t="shared" si="8"/>
        <v/>
      </c>
      <c r="BB30" s="190" t="str">
        <f t="shared" si="9"/>
        <v/>
      </c>
      <c r="BN30" s="62" t="s">
        <v>211</v>
      </c>
      <c r="BO30" s="595"/>
      <c r="BP30" s="91" t="s">
        <v>204</v>
      </c>
      <c r="BQ30" s="91" t="s">
        <v>325</v>
      </c>
      <c r="BR30" s="91" t="s">
        <v>325</v>
      </c>
      <c r="BS30" s="91"/>
      <c r="BT30" s="91"/>
      <c r="BU30" s="91"/>
      <c r="BV30" s="91"/>
      <c r="BW30" s="91"/>
      <c r="BX30" s="91" t="s">
        <v>240</v>
      </c>
      <c r="BY30" s="91">
        <v>16.079999999999998</v>
      </c>
      <c r="BZ30" s="91">
        <v>15.6</v>
      </c>
      <c r="CA30" s="91" t="s">
        <v>207</v>
      </c>
      <c r="CB30" s="92">
        <v>112000</v>
      </c>
      <c r="CC30" s="91">
        <v>30</v>
      </c>
      <c r="CD30" s="91">
        <v>30</v>
      </c>
      <c r="CE30" s="91">
        <v>300</v>
      </c>
      <c r="CF30" s="91">
        <v>300</v>
      </c>
      <c r="CG30" s="91">
        <v>4</v>
      </c>
      <c r="CH30" s="91">
        <v>4</v>
      </c>
      <c r="CI30" s="4" t="s">
        <v>326</v>
      </c>
      <c r="CJ30" s="4"/>
      <c r="CK30"/>
      <c r="CL30"/>
      <c r="CM30"/>
      <c r="CN30"/>
      <c r="CO30"/>
      <c r="CP30"/>
      <c r="CQ30"/>
      <c r="CR30"/>
      <c r="CS30"/>
      <c r="CT30"/>
      <c r="CU30"/>
      <c r="CV30" s="4" t="s">
        <v>327</v>
      </c>
      <c r="CW30" s="4"/>
      <c r="CX30" s="4" t="s">
        <v>289</v>
      </c>
      <c r="CY30" s="4"/>
      <c r="CZ30" s="95"/>
      <c r="DA30"/>
    </row>
    <row r="31" spans="2:107">
      <c r="L31" s="211">
        <v>1</v>
      </c>
      <c r="M31" s="173">
        <f t="shared" si="17"/>
        <v>0</v>
      </c>
      <c r="N31" s="173">
        <f t="shared" si="18"/>
        <v>0</v>
      </c>
      <c r="O31" s="207"/>
      <c r="P31" s="207"/>
      <c r="Q31" s="207"/>
      <c r="R31" s="207"/>
      <c r="S31" s="209"/>
      <c r="T31" s="264"/>
      <c r="U31" s="187" t="str">
        <f t="shared" si="2"/>
        <v/>
      </c>
      <c r="V31" s="188" t="str">
        <f>IFERROR(IF($O31&lt;&gt;"",IF($P31&lt;3,IF(RIGHT($O31,4)="연료연소",IFERROR(VLOOKUP($Q31,IF($P31=1,EF_Combustion1,EF_Combustion2),10,0),VLOOKUP(VLOOKUP($Q31,재분류,2,0),IF($P31=1,EF_Combustion1,EF_Combustion2),10,0)),IF(LEFT($O31,2)="이동",VLOOKUP($Q31,EF_Combustion_mobile,10,0),VLOOKUP($Q31,EF_Indirect,10,0))),"Tier3"),""),0)</f>
        <v/>
      </c>
      <c r="W31" s="226"/>
      <c r="X31" s="227" t="str">
        <f>IFERROR(IF($O31&lt;&gt;"",IF($P31&lt;3,IF(RIGHT($O31,4)="연료연소",IFERROR(VLOOKUP($Q31,IF($P31=1,EF_Combustion1,EF_Combustion2),8,0),VLOOKUP(VLOOKUP($Q31,재분류,2,0),IF($P31=1,EF_Combustion1,EF_Combustion2),8,0)),IF(LEFT($O31,2)="이동",VLOOKUP($Q31,EF_Combustion_mobile,8,0),VLOOKUP($Q31,EF_Indirect,8,0))),"Tier3"),""),0)</f>
        <v/>
      </c>
      <c r="Y31" s="228" t="str">
        <f>IFERROR(IF($O31&lt;&gt;"",IF($P31&lt;3,IF(RIGHT($O31,4)="연료연소",IFERROR(VLOOKUP($Q31,IF($P31=1,EF_Combustion1,EF_Combustion2),12,0),VLOOKUP(VLOOKUP($Q31,재분류,2,0),IF($P31=1,EF_Combustion1,EF_Combustion2),12,0)),IF(LEFT($O31,2)="이동",VLOOKUP($Q31,EF_Combustion_mobile,12,0),VLOOKUP($Q31,EF_Indirect,12,0))),"Tier3"),""),0)</f>
        <v/>
      </c>
      <c r="Z31" s="228"/>
      <c r="AA31" s="229" t="str">
        <f>IFERROR(IF($O31&lt;&gt;"",IF($P31&lt;3,IF(RIGHT($O31,4)="연료연소",IFERROR(VLOOKUP($Q31,IF($P31=1,EF_Combustion1,EF_Combustion2),11,0),VLOOKUP(VLOOKUP($Q31,재분류,2,0),IF($P31=1,EF_Combustion1,EF_Combustion2),11,0)),IF(LEFT($O31,2)="이동",VLOOKUP($Q31,EF_Combustion_mobile,11,0),VLOOKUP($Q31,EF_Indirect,11,0))),"Tier3"),""),0)</f>
        <v/>
      </c>
      <c r="AB31" s="230" t="str">
        <f>IFERROR(IF($O31&lt;&gt;"",IF($P31&lt;3,IF(RIGHT($O31,4)="연료연소",IFERROR(VLOOKUP($Q31,IF($P31=1,EF_Combustion1,EF_Combustion2),12+VLOOKUP(적용업종,업종분류,2,0),0),VLOOKUP(VLOOKUP($Q31,재분류,2,0),IF($P31=1,EF_Combustion1,EF_Combustion2),12+VLOOKUP(적용업종,업종분류,2,0),0)),IF(LEFT($O31,2)="이동",VLOOKUP($Q31,EF_Combustion_mobile,12+VLOOKUP(적용업종,업종분류,2,0),0),VLOOKUP($Q31,EF_Indirect,12+VLOOKUP(적용업종,업종분류,2,0),0))),"Tier3"),""),0)</f>
        <v/>
      </c>
      <c r="AC31" s="230"/>
      <c r="AD31" s="229" t="str">
        <f t="shared" si="3"/>
        <v/>
      </c>
      <c r="AE31" s="230" t="str">
        <f>IFERROR(IF($O31&lt;&gt;"",IF($P31&lt;3,IF(RIGHT($O31,4)="연료연소",IFERROR(VLOOKUP($Q31,IF($P31=1,EF_Combustion1,EF_Combustion2),16+VLOOKUP(적용업종,업종분류,3,0),0),VLOOKUP(VLOOKUP($Q31,재분류,2,0),IF($P31=1,EF_Combustion1,EF_Combustion2),16+VLOOKUP(적용업종,업종분류,3,0),0)),IF(LEFT($O31,2)="이동",VLOOKUP($Q31,EF_Combustion_mobile,16+VLOOKUP(적용업종,업종분류,3,0),0),VLOOKUP($Q31,EF_Indirect,16+VLOOKUP(적용업종,업종분류,3,0),0))),"Tier3"),""),0)</f>
        <v/>
      </c>
      <c r="AF31" s="230"/>
      <c r="AG31" s="225" t="str">
        <f t="shared" si="4"/>
        <v/>
      </c>
      <c r="AH31" s="189" t="str">
        <f t="shared" si="5"/>
        <v/>
      </c>
      <c r="AI31" s="210"/>
      <c r="AJ31" s="207"/>
      <c r="AK31" s="207"/>
      <c r="AL31" s="207"/>
      <c r="AM31" s="209"/>
      <c r="AN31" s="264"/>
      <c r="AO31" s="187" t="str">
        <f t="shared" si="6"/>
        <v/>
      </c>
      <c r="AP31" s="188" t="str">
        <f>IFERROR(IF($AI31&lt;&gt;"",IF($AJ31&lt;3,IF(RIGHT($AI31,4)="연료연소",IFERROR(VLOOKUP($AK31,IF($AJ31=1,EF_Combustion1,EF_Combustion2),10,0),VLOOKUP(VLOOKUP($AK31,재분류,2,0),IF($AJ31=1,EF_Combustion1,EF_Combustion2),10,0)),IF(LEFT($AI31,2)="이동",VLOOKUP($AK31,EF_Combustion_mobile,10,0),VLOOKUP($AK31,EF_Indirect,10,0))),"Tier3"),""),0)</f>
        <v/>
      </c>
      <c r="AQ31" s="226"/>
      <c r="AR31" s="227" t="str">
        <f>IFERROR(IF($AI31&lt;&gt;"",IF($AJ31&lt;3,IF(RIGHT($AI31,4)="연료연소",IFERROR(VLOOKUP($AK31,IF($AJ31=1,EF_Combustion1,EF_Combustion2),8,0),VLOOKUP(VLOOKUP($AK31,재분류,2,0),IF($AJ31=1,EF_Combustion1,EF_Combustion2),8,0)),IF(LEFT($AI31,2)="이동",VLOOKUP($AK31,EF_Combustion_mobile,8,0),VLOOKUP($AK31,EF_Indirect,8,0))),"Tier3"),""),0)</f>
        <v/>
      </c>
      <c r="AS31" s="228" t="str">
        <f>IFERROR(IF($AI31&lt;&gt;"",IF($AJ31&lt;3,IF(RIGHT($AI31,4)="연료연소",IFERROR(VLOOKUP($AK31,IF($AJ31=1,EF_Combustion1,EF_Combustion2),12,0),VLOOKUP(VLOOKUP($AK31,재분류,2,0),IF($AJ31=1,EF_Combustion1,EF_Combustion2),12,0)),IF(LEFT($AI31,2)="이동",VLOOKUP($AK31,EF_Combustion_mobile,12,0),VLOOKUP($AK31,EF_Indirect,12,0))),"Tier3"),""),0)</f>
        <v/>
      </c>
      <c r="AT31" s="228"/>
      <c r="AU31" s="229" t="str">
        <f>IFERROR(IF($AI31&lt;&gt;"",IF($AJ31&lt;3,IF(RIGHT($AI31,4)="연료연소",IFERROR(VLOOKUP($AK31,IF($AJ31=1,EF_Combustion1,EF_Combustion2),11,0),VLOOKUP(VLOOKUP($AK31,재분류,2,0),IF($AJ31=1,EF_Combustion1,EF_Combustion2),11,0)),IF(LEFT($AI31,2)="이동",VLOOKUP($AK31,EF_Combustion_mobile,11,0),VLOOKUP($AK31,EF_Indirect,11,0))),"Tier3"),""),0)</f>
        <v/>
      </c>
      <c r="AV31" s="230" t="str">
        <f>IFERROR(IF($AI31&lt;&gt;"",IF($AJ31&lt;3,IF(RIGHT($AI31,4)="연료연소",IFERROR(VLOOKUP($AK31,IF($AJ31=1,EF_Combustion1,EF_Combustion2),12+VLOOKUP(적용업종,업종분류,2,0),0),VLOOKUP(VLOOKUP($AK31,재분류,2,0),IF($AJ31=1,EF_Combustion1,EF_Combustion2),12+VLOOKUP(적용업종,업종분류,2,0),0)),IF(LEFT($AI31,2)="이동",VLOOKUP($AK31,EF_Combustion_mobile,12+VLOOKUP(적용업종,업종분류,2,0),0),VLOOKUP($AK31,EF_Indirect,12+VLOOKUP(적용업종,업종분류,2,0),0))),"Tier3"),""),0)</f>
        <v/>
      </c>
      <c r="AW31" s="230"/>
      <c r="AX31" s="229" t="str">
        <f t="shared" si="7"/>
        <v/>
      </c>
      <c r="AY31" s="230" t="str">
        <f>IFERROR(IF($AI31&lt;&gt;"",IF($AJ31&lt;3,IF(RIGHT($AI31,4)="연료연소",IFERROR(VLOOKUP($AK31,IF($AJ31=1,EF_Combustion1,EF_Combustion2),16+VLOOKUP(적용업종,업종분류,3,0),0),VLOOKUP(VLOOKUP($AK31,재분류,2,0),IF($AJ31=1,EF_Combustion1,EF_Combustion2),16+VLOOKUP(적용업종,업종분류,3,0),0)),IF(LEFT($AI31,2)="이동",VLOOKUP($AK31,EF_Combustion_mobile,16+VLOOKUP(적용업종,업종분류,3,0),0),VLOOKUP($AK31,EF_Indirect,16+VLOOKUP(적용업종,업종분류,3,0),0))),"Tier3"),""),0)</f>
        <v/>
      </c>
      <c r="AZ31" s="230"/>
      <c r="BA31" s="225" t="str">
        <f t="shared" si="8"/>
        <v/>
      </c>
      <c r="BB31" s="190" t="str">
        <f t="shared" si="9"/>
        <v/>
      </c>
      <c r="BN31" s="62" t="s">
        <v>211</v>
      </c>
      <c r="BO31" s="595"/>
      <c r="BP31" s="91" t="s">
        <v>204</v>
      </c>
      <c r="BQ31" s="91" t="s">
        <v>328</v>
      </c>
      <c r="BR31" s="91" t="s">
        <v>328</v>
      </c>
      <c r="BS31" s="91"/>
      <c r="BT31" s="91"/>
      <c r="BU31" s="91"/>
      <c r="BV31" s="91"/>
      <c r="BW31" s="91"/>
      <c r="BX31" s="91" t="s">
        <v>240</v>
      </c>
      <c r="BY31" s="91">
        <v>30.41</v>
      </c>
      <c r="BZ31" s="91">
        <v>29.5</v>
      </c>
      <c r="CA31" s="91" t="s">
        <v>207</v>
      </c>
      <c r="CB31" s="92">
        <v>112000</v>
      </c>
      <c r="CC31" s="91">
        <v>200</v>
      </c>
      <c r="CD31" s="91">
        <v>200</v>
      </c>
      <c r="CE31" s="91">
        <v>200</v>
      </c>
      <c r="CF31" s="91">
        <v>200</v>
      </c>
      <c r="CG31" s="91">
        <v>4</v>
      </c>
      <c r="CH31" s="91">
        <v>1</v>
      </c>
      <c r="CI31" s="4" t="s">
        <v>329</v>
      </c>
      <c r="CJ31" s="4"/>
      <c r="CK31"/>
      <c r="CL31"/>
      <c r="CM31"/>
      <c r="CN31"/>
      <c r="CO31"/>
      <c r="CP31"/>
      <c r="CQ31"/>
      <c r="CR31"/>
      <c r="CS31"/>
      <c r="CT31"/>
      <c r="CU31"/>
      <c r="CV31" s="4" t="s">
        <v>330</v>
      </c>
      <c r="CW31" s="4"/>
      <c r="CX31" s="4" t="s">
        <v>289</v>
      </c>
      <c r="CY31" s="4"/>
      <c r="CZ31" s="95"/>
      <c r="DA31"/>
    </row>
    <row r="32" spans="2:107" ht="21.75" customHeight="1">
      <c r="B32"/>
      <c r="C32" s="284"/>
      <c r="D32" s="294" t="s">
        <v>692</v>
      </c>
      <c r="E32" s="295"/>
      <c r="F32" s="295"/>
      <c r="G32" s="295"/>
      <c r="H32" s="295"/>
      <c r="L32" s="211">
        <v>1</v>
      </c>
      <c r="M32" s="173">
        <f t="shared" si="17"/>
        <v>0</v>
      </c>
      <c r="N32" s="173">
        <f t="shared" si="18"/>
        <v>0</v>
      </c>
      <c r="O32" s="207"/>
      <c r="P32" s="207"/>
      <c r="Q32" s="207"/>
      <c r="R32" s="207"/>
      <c r="S32" s="209"/>
      <c r="T32" s="264"/>
      <c r="U32" s="187" t="str">
        <f t="shared" si="2"/>
        <v/>
      </c>
      <c r="V32" s="188" t="str">
        <f>IFERROR(IF($O32&lt;&gt;"",IF($P32&lt;3,IF(RIGHT($O32,4)="연료연소",IFERROR(VLOOKUP($Q32,IF($P32=1,EF_Combustion1,EF_Combustion2),10,0),VLOOKUP(VLOOKUP($Q32,재분류,2,0),IF($P32=1,EF_Combustion1,EF_Combustion2),10,0)),IF(LEFT($O32,2)="이동",VLOOKUP($Q32,EF_Combustion_mobile,10,0),VLOOKUP($Q32,EF_Indirect,10,0))),"Tier3"),""),0)</f>
        <v/>
      </c>
      <c r="W32" s="226"/>
      <c r="X32" s="227" t="str">
        <f>IFERROR(IF($O32&lt;&gt;"",IF($P32&lt;3,IF(RIGHT($O32,4)="연료연소",IFERROR(VLOOKUP($Q32,IF($P32=1,EF_Combustion1,EF_Combustion2),8,0),VLOOKUP(VLOOKUP($Q32,재분류,2,0),IF($P32=1,EF_Combustion1,EF_Combustion2),8,0)),IF(LEFT($O32,2)="이동",VLOOKUP($Q32,EF_Combustion_mobile,8,0),VLOOKUP($Q32,EF_Indirect,8,0))),"Tier3"),""),0)</f>
        <v/>
      </c>
      <c r="Y32" s="228" t="str">
        <f>IFERROR(IF($O32&lt;&gt;"",IF($P32&lt;3,IF(RIGHT($O32,4)="연료연소",IFERROR(VLOOKUP($Q32,IF($P32=1,EF_Combustion1,EF_Combustion2),12,0),VLOOKUP(VLOOKUP($Q32,재분류,2,0),IF($P32=1,EF_Combustion1,EF_Combustion2),12,0)),IF(LEFT($O32,2)="이동",VLOOKUP($Q32,EF_Combustion_mobile,12,0),VLOOKUP($Q32,EF_Indirect,12,0))),"Tier3"),""),0)</f>
        <v/>
      </c>
      <c r="Z32" s="228"/>
      <c r="AA32" s="229" t="str">
        <f>IFERROR(IF($O32&lt;&gt;"",IF($P32&lt;3,IF(RIGHT($O32,4)="연료연소",IFERROR(VLOOKUP($Q32,IF($P32=1,EF_Combustion1,EF_Combustion2),11,0),VLOOKUP(VLOOKUP($Q32,재분류,2,0),IF($P32=1,EF_Combustion1,EF_Combustion2),11,0)),IF(LEFT($O32,2)="이동",VLOOKUP($Q32,EF_Combustion_mobile,11,0),VLOOKUP($Q32,EF_Indirect,11,0))),"Tier3"),""),0)</f>
        <v/>
      </c>
      <c r="AB32" s="230" t="str">
        <f>IFERROR(IF($O32&lt;&gt;"",IF($P32&lt;3,IF(RIGHT($O32,4)="연료연소",IFERROR(VLOOKUP($Q32,IF($P32=1,EF_Combustion1,EF_Combustion2),12+VLOOKUP(적용업종,업종분류,2,0),0),VLOOKUP(VLOOKUP($Q32,재분류,2,0),IF($P32=1,EF_Combustion1,EF_Combustion2),12+VLOOKUP(적용업종,업종분류,2,0),0)),IF(LEFT($O32,2)="이동",VLOOKUP($Q32,EF_Combustion_mobile,12+VLOOKUP(적용업종,업종분류,2,0),0),VLOOKUP($Q32,EF_Indirect,12+VLOOKUP(적용업종,업종분류,2,0),0))),"Tier3"),""),0)</f>
        <v/>
      </c>
      <c r="AC32" s="230"/>
      <c r="AD32" s="229" t="str">
        <f t="shared" si="3"/>
        <v/>
      </c>
      <c r="AE32" s="230" t="str">
        <f>IFERROR(IF($O32&lt;&gt;"",IF($P32&lt;3,IF(RIGHT($O32,4)="연료연소",IFERROR(VLOOKUP($Q32,IF($P32=1,EF_Combustion1,EF_Combustion2),16+VLOOKUP(적용업종,업종분류,3,0),0),VLOOKUP(VLOOKUP($Q32,재분류,2,0),IF($P32=1,EF_Combustion1,EF_Combustion2),16+VLOOKUP(적용업종,업종분류,3,0),0)),IF(LEFT($O32,2)="이동",VLOOKUP($Q32,EF_Combustion_mobile,16+VLOOKUP(적용업종,업종분류,3,0),0),VLOOKUP($Q32,EF_Indirect,16+VLOOKUP(적용업종,업종분류,3,0),0))),"Tier3"),""),0)</f>
        <v/>
      </c>
      <c r="AF32" s="230"/>
      <c r="AG32" s="225" t="str">
        <f t="shared" si="4"/>
        <v/>
      </c>
      <c r="AH32" s="189" t="str">
        <f t="shared" si="5"/>
        <v/>
      </c>
      <c r="AI32" s="210"/>
      <c r="AJ32" s="207"/>
      <c r="AK32" s="207"/>
      <c r="AL32" s="207"/>
      <c r="AM32" s="209"/>
      <c r="AN32" s="264"/>
      <c r="AO32" s="187" t="str">
        <f t="shared" si="6"/>
        <v/>
      </c>
      <c r="AP32" s="188" t="str">
        <f>IFERROR(IF($AI32&lt;&gt;"",IF($AJ32&lt;3,IF(RIGHT($AI32,4)="연료연소",IFERROR(VLOOKUP($AK32,IF($AJ32=1,EF_Combustion1,EF_Combustion2),10,0),VLOOKUP(VLOOKUP($AK32,재분류,2,0),IF($AJ32=1,EF_Combustion1,EF_Combustion2),10,0)),IF(LEFT($AI32,2)="이동",VLOOKUP($AK32,EF_Combustion_mobile,10,0),VLOOKUP($AK32,EF_Indirect,10,0))),"Tier3"),""),0)</f>
        <v/>
      </c>
      <c r="AQ32" s="226"/>
      <c r="AR32" s="227" t="str">
        <f>IFERROR(IF($AI32&lt;&gt;"",IF($AJ32&lt;3,IF(RIGHT($AI32,4)="연료연소",IFERROR(VLOOKUP($AK32,IF($AJ32=1,EF_Combustion1,EF_Combustion2),8,0),VLOOKUP(VLOOKUP($AK32,재분류,2,0),IF($AJ32=1,EF_Combustion1,EF_Combustion2),8,0)),IF(LEFT($AI32,2)="이동",VLOOKUP($AK32,EF_Combustion_mobile,8,0),VLOOKUP($AK32,EF_Indirect,8,0))),"Tier3"),""),0)</f>
        <v/>
      </c>
      <c r="AS32" s="228" t="str">
        <f>IFERROR(IF($AI32&lt;&gt;"",IF($AJ32&lt;3,IF(RIGHT($AI32,4)="연료연소",IFERROR(VLOOKUP($AK32,IF($AJ32=1,EF_Combustion1,EF_Combustion2),12,0),VLOOKUP(VLOOKUP($AK32,재분류,2,0),IF($AJ32=1,EF_Combustion1,EF_Combustion2),12,0)),IF(LEFT($AI32,2)="이동",VLOOKUP($AK32,EF_Combustion_mobile,12,0),VLOOKUP($AK32,EF_Indirect,12,0))),"Tier3"),""),0)</f>
        <v/>
      </c>
      <c r="AT32" s="228"/>
      <c r="AU32" s="229" t="str">
        <f>IFERROR(IF($AI32&lt;&gt;"",IF($AJ32&lt;3,IF(RIGHT($AI32,4)="연료연소",IFERROR(VLOOKUP($AK32,IF($AJ32=1,EF_Combustion1,EF_Combustion2),11,0),VLOOKUP(VLOOKUP($AK32,재분류,2,0),IF($AJ32=1,EF_Combustion1,EF_Combustion2),11,0)),IF(LEFT($AI32,2)="이동",VLOOKUP($AK32,EF_Combustion_mobile,11,0),VLOOKUP($AK32,EF_Indirect,11,0))),"Tier3"),""),0)</f>
        <v/>
      </c>
      <c r="AV32" s="230" t="str">
        <f>IFERROR(IF($AI32&lt;&gt;"",IF($AJ32&lt;3,IF(RIGHT($AI32,4)="연료연소",IFERROR(VLOOKUP($AK32,IF($AJ32=1,EF_Combustion1,EF_Combustion2),12+VLOOKUP(적용업종,업종분류,2,0),0),VLOOKUP(VLOOKUP($AK32,재분류,2,0),IF($AJ32=1,EF_Combustion1,EF_Combustion2),12+VLOOKUP(적용업종,업종분류,2,0),0)),IF(LEFT($AI32,2)="이동",VLOOKUP($AK32,EF_Combustion_mobile,12+VLOOKUP(적용업종,업종분류,2,0),0),VLOOKUP($AK32,EF_Indirect,12+VLOOKUP(적용업종,업종분류,2,0),0))),"Tier3"),""),0)</f>
        <v/>
      </c>
      <c r="AW32" s="230"/>
      <c r="AX32" s="229" t="str">
        <f t="shared" si="7"/>
        <v/>
      </c>
      <c r="AY32" s="230" t="str">
        <f>IFERROR(IF($AI32&lt;&gt;"",IF($AJ32&lt;3,IF(RIGHT($AI32,4)="연료연소",IFERROR(VLOOKUP($AK32,IF($AJ32=1,EF_Combustion1,EF_Combustion2),16+VLOOKUP(적용업종,업종분류,3,0),0),VLOOKUP(VLOOKUP($AK32,재분류,2,0),IF($AJ32=1,EF_Combustion1,EF_Combustion2),16+VLOOKUP(적용업종,업종분류,3,0),0)),IF(LEFT($AI32,2)="이동",VLOOKUP($AK32,EF_Combustion_mobile,16+VLOOKUP(적용업종,업종분류,3,0),0),VLOOKUP($AK32,EF_Indirect,16+VLOOKUP(적용업종,업종분류,3,0),0))),"Tier3"),""),0)</f>
        <v/>
      </c>
      <c r="AZ32" s="230"/>
      <c r="BA32" s="225" t="str">
        <f t="shared" si="8"/>
        <v/>
      </c>
      <c r="BB32" s="190" t="str">
        <f t="shared" si="9"/>
        <v/>
      </c>
      <c r="BN32" s="62" t="s">
        <v>202</v>
      </c>
      <c r="BO32" s="595"/>
      <c r="BP32" s="91" t="s">
        <v>204</v>
      </c>
      <c r="BQ32" s="91" t="s">
        <v>331</v>
      </c>
      <c r="BR32" s="91" t="s">
        <v>331</v>
      </c>
      <c r="BS32" s="91"/>
      <c r="BT32" s="91"/>
      <c r="BU32" s="91"/>
      <c r="BV32" s="91"/>
      <c r="BW32" s="91"/>
      <c r="BX32" s="91" t="s">
        <v>240</v>
      </c>
      <c r="BY32" s="91">
        <v>29.1</v>
      </c>
      <c r="BZ32" s="91">
        <v>27</v>
      </c>
      <c r="CA32" s="91" t="s">
        <v>207</v>
      </c>
      <c r="CB32" s="92">
        <v>70800</v>
      </c>
      <c r="CC32" s="91">
        <v>3</v>
      </c>
      <c r="CD32" s="91">
        <v>3</v>
      </c>
      <c r="CE32" s="91">
        <v>10</v>
      </c>
      <c r="CF32" s="91">
        <v>10</v>
      </c>
      <c r="CG32" s="91">
        <v>0.6</v>
      </c>
      <c r="CH32" s="91">
        <v>0.6</v>
      </c>
      <c r="CI32" s="4" t="s">
        <v>332</v>
      </c>
      <c r="CJ32" s="4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 s="18"/>
      <c r="DA32"/>
    </row>
    <row r="33" spans="2:105" ht="21.75" customHeight="1">
      <c r="B33"/>
      <c r="C33" s="285"/>
      <c r="D33" s="294"/>
      <c r="E33" s="295" t="s">
        <v>825</v>
      </c>
      <c r="F33" s="295"/>
      <c r="G33" s="295"/>
      <c r="H33" s="295"/>
      <c r="L33" s="211">
        <v>1</v>
      </c>
      <c r="M33" s="173">
        <f t="shared" si="17"/>
        <v>0</v>
      </c>
      <c r="N33" s="173">
        <f t="shared" si="18"/>
        <v>0</v>
      </c>
      <c r="O33" s="207"/>
      <c r="P33" s="207"/>
      <c r="Q33" s="207"/>
      <c r="R33" s="207"/>
      <c r="S33" s="209"/>
      <c r="T33" s="264"/>
      <c r="U33" s="187" t="str">
        <f t="shared" si="2"/>
        <v/>
      </c>
      <c r="V33" s="188" t="str">
        <f>IFERROR(IF($O33&lt;&gt;"",IF($P33&lt;3,IF(RIGHT($O33,4)="연료연소",IFERROR(VLOOKUP($Q33,IF($P33=1,EF_Combustion1,EF_Combustion2),10,0),VLOOKUP(VLOOKUP($Q33,재분류,2,0),IF($P33=1,EF_Combustion1,EF_Combustion2),10,0)),IF(LEFT($O33,2)="이동",VLOOKUP($Q33,EF_Combustion_mobile,10,0),VLOOKUP($Q33,EF_Indirect,10,0))),"Tier3"),""),0)</f>
        <v/>
      </c>
      <c r="W33" s="226"/>
      <c r="X33" s="227" t="str">
        <f>IFERROR(IF($O33&lt;&gt;"",IF($P33&lt;3,IF(RIGHT($O33,4)="연료연소",IFERROR(VLOOKUP($Q33,IF($P33=1,EF_Combustion1,EF_Combustion2),8,0),VLOOKUP(VLOOKUP($Q33,재분류,2,0),IF($P33=1,EF_Combustion1,EF_Combustion2),8,0)),IF(LEFT($O33,2)="이동",VLOOKUP($Q33,EF_Combustion_mobile,8,0),VLOOKUP($Q33,EF_Indirect,8,0))),"Tier3"),""),0)</f>
        <v/>
      </c>
      <c r="Y33" s="228" t="str">
        <f>IFERROR(IF($O33&lt;&gt;"",IF($P33&lt;3,IF(RIGHT($O33,4)="연료연소",IFERROR(VLOOKUP($Q33,IF($P33=1,EF_Combustion1,EF_Combustion2),12,0),VLOOKUP(VLOOKUP($Q33,재분류,2,0),IF($P33=1,EF_Combustion1,EF_Combustion2),12,0)),IF(LEFT($O33,2)="이동",VLOOKUP($Q33,EF_Combustion_mobile,12,0),VLOOKUP($Q33,EF_Indirect,12,0))),"Tier3"),""),0)</f>
        <v/>
      </c>
      <c r="Z33" s="228"/>
      <c r="AA33" s="229" t="str">
        <f>IFERROR(IF($O33&lt;&gt;"",IF($P33&lt;3,IF(RIGHT($O33,4)="연료연소",IFERROR(VLOOKUP($Q33,IF($P33=1,EF_Combustion1,EF_Combustion2),11,0),VLOOKUP(VLOOKUP($Q33,재분류,2,0),IF($P33=1,EF_Combustion1,EF_Combustion2),11,0)),IF(LEFT($O33,2)="이동",VLOOKUP($Q33,EF_Combustion_mobile,11,0),VLOOKUP($Q33,EF_Indirect,11,0))),"Tier3"),""),0)</f>
        <v/>
      </c>
      <c r="AB33" s="230" t="str">
        <f>IFERROR(IF($O33&lt;&gt;"",IF($P33&lt;3,IF(RIGHT($O33,4)="연료연소",IFERROR(VLOOKUP($Q33,IF($P33=1,EF_Combustion1,EF_Combustion2),12+VLOOKUP(적용업종,업종분류,2,0),0),VLOOKUP(VLOOKUP($Q33,재분류,2,0),IF($P33=1,EF_Combustion1,EF_Combustion2),12+VLOOKUP(적용업종,업종분류,2,0),0)),IF(LEFT($O33,2)="이동",VLOOKUP($Q33,EF_Combustion_mobile,12+VLOOKUP(적용업종,업종분류,2,0),0),VLOOKUP($Q33,EF_Indirect,12+VLOOKUP(적용업종,업종분류,2,0),0))),"Tier3"),""),0)</f>
        <v/>
      </c>
      <c r="AC33" s="230"/>
      <c r="AD33" s="229" t="str">
        <f t="shared" si="3"/>
        <v/>
      </c>
      <c r="AE33" s="230" t="str">
        <f>IFERROR(IF($O33&lt;&gt;"",IF($P33&lt;3,IF(RIGHT($O33,4)="연료연소",IFERROR(VLOOKUP($Q33,IF($P33=1,EF_Combustion1,EF_Combustion2),16+VLOOKUP(적용업종,업종분류,3,0),0),VLOOKUP(VLOOKUP($Q33,재분류,2,0),IF($P33=1,EF_Combustion1,EF_Combustion2),16+VLOOKUP(적용업종,업종분류,3,0),0)),IF(LEFT($O33,2)="이동",VLOOKUP($Q33,EF_Combustion_mobile,16+VLOOKUP(적용업종,업종분류,3,0),0),VLOOKUP($Q33,EF_Indirect,16+VLOOKUP(적용업종,업종분류,3,0),0))),"Tier3"),""),0)</f>
        <v/>
      </c>
      <c r="AF33" s="230"/>
      <c r="AG33" s="225" t="str">
        <f t="shared" si="4"/>
        <v/>
      </c>
      <c r="AH33" s="189" t="str">
        <f t="shared" si="5"/>
        <v/>
      </c>
      <c r="AI33" s="210"/>
      <c r="AJ33" s="207"/>
      <c r="AK33" s="207"/>
      <c r="AL33" s="207"/>
      <c r="AM33" s="209"/>
      <c r="AN33" s="264"/>
      <c r="AO33" s="187" t="str">
        <f t="shared" si="6"/>
        <v/>
      </c>
      <c r="AP33" s="188" t="str">
        <f>IFERROR(IF($AI33&lt;&gt;"",IF($AJ33&lt;3,IF(RIGHT($AI33,4)="연료연소",IFERROR(VLOOKUP($AK33,IF($AJ33=1,EF_Combustion1,EF_Combustion2),10,0),VLOOKUP(VLOOKUP($AK33,재분류,2,0),IF($AJ33=1,EF_Combustion1,EF_Combustion2),10,0)),IF(LEFT($AI33,2)="이동",VLOOKUP($AK33,EF_Combustion_mobile,10,0),VLOOKUP($AK33,EF_Indirect,10,0))),"Tier3"),""),0)</f>
        <v/>
      </c>
      <c r="AQ33" s="226"/>
      <c r="AR33" s="227" t="str">
        <f>IFERROR(IF($AI33&lt;&gt;"",IF($AJ33&lt;3,IF(RIGHT($AI33,4)="연료연소",IFERROR(VLOOKUP($AK33,IF($AJ33=1,EF_Combustion1,EF_Combustion2),8,0),VLOOKUP(VLOOKUP($AK33,재분류,2,0),IF($AJ33=1,EF_Combustion1,EF_Combustion2),8,0)),IF(LEFT($AI33,2)="이동",VLOOKUP($AK33,EF_Combustion_mobile,8,0),VLOOKUP($AK33,EF_Indirect,8,0))),"Tier3"),""),0)</f>
        <v/>
      </c>
      <c r="AS33" s="228" t="str">
        <f>IFERROR(IF($AI33&lt;&gt;"",IF($AJ33&lt;3,IF(RIGHT($AI33,4)="연료연소",IFERROR(VLOOKUP($AK33,IF($AJ33=1,EF_Combustion1,EF_Combustion2),12,0),VLOOKUP(VLOOKUP($AK33,재분류,2,0),IF($AJ33=1,EF_Combustion1,EF_Combustion2),12,0)),IF(LEFT($AI33,2)="이동",VLOOKUP($AK33,EF_Combustion_mobile,12,0),VLOOKUP($AK33,EF_Indirect,12,0))),"Tier3"),""),0)</f>
        <v/>
      </c>
      <c r="AT33" s="228"/>
      <c r="AU33" s="229" t="str">
        <f>IFERROR(IF($AI33&lt;&gt;"",IF($AJ33&lt;3,IF(RIGHT($AI33,4)="연료연소",IFERROR(VLOOKUP($AK33,IF($AJ33=1,EF_Combustion1,EF_Combustion2),11,0),VLOOKUP(VLOOKUP($AK33,재분류,2,0),IF($AJ33=1,EF_Combustion1,EF_Combustion2),11,0)),IF(LEFT($AI33,2)="이동",VLOOKUP($AK33,EF_Combustion_mobile,11,0),VLOOKUP($AK33,EF_Indirect,11,0))),"Tier3"),""),0)</f>
        <v/>
      </c>
      <c r="AV33" s="230" t="str">
        <f>IFERROR(IF($AI33&lt;&gt;"",IF($AJ33&lt;3,IF(RIGHT($AI33,4)="연료연소",IFERROR(VLOOKUP($AK33,IF($AJ33=1,EF_Combustion1,EF_Combustion2),12+VLOOKUP(적용업종,업종분류,2,0),0),VLOOKUP(VLOOKUP($AK33,재분류,2,0),IF($AJ33=1,EF_Combustion1,EF_Combustion2),12+VLOOKUP(적용업종,업종분류,2,0),0)),IF(LEFT($AI33,2)="이동",VLOOKUP($AK33,EF_Combustion_mobile,12+VLOOKUP(적용업종,업종분류,2,0),0),VLOOKUP($AK33,EF_Indirect,12+VLOOKUP(적용업종,업종분류,2,0),0))),"Tier3"),""),0)</f>
        <v/>
      </c>
      <c r="AW33" s="230"/>
      <c r="AX33" s="229" t="str">
        <f t="shared" si="7"/>
        <v/>
      </c>
      <c r="AY33" s="230" t="str">
        <f>IFERROR(IF($AI33&lt;&gt;"",IF($AJ33&lt;3,IF(RIGHT($AI33,4)="연료연소",IFERROR(VLOOKUP($AK33,IF($AJ33=1,EF_Combustion1,EF_Combustion2),16+VLOOKUP(적용업종,업종분류,3,0),0),VLOOKUP(VLOOKUP($AK33,재분류,2,0),IF($AJ33=1,EF_Combustion1,EF_Combustion2),16+VLOOKUP(적용업종,업종분류,3,0),0)),IF(LEFT($AI33,2)="이동",VLOOKUP($AK33,EF_Combustion_mobile,16+VLOOKUP(적용업종,업종분류,3,0),0),VLOOKUP($AK33,EF_Indirect,16+VLOOKUP(적용업종,업종분류,3,0),0))),"Tier3"),""),0)</f>
        <v/>
      </c>
      <c r="AZ33" s="230"/>
      <c r="BA33" s="225" t="str">
        <f t="shared" si="8"/>
        <v/>
      </c>
      <c r="BB33" s="190" t="str">
        <f t="shared" si="9"/>
        <v/>
      </c>
      <c r="BN33" s="62" t="s">
        <v>202</v>
      </c>
      <c r="BO33" s="595"/>
      <c r="BP33" s="91" t="s">
        <v>204</v>
      </c>
      <c r="BQ33" s="91" t="s">
        <v>333</v>
      </c>
      <c r="BR33" s="91" t="s">
        <v>334</v>
      </c>
      <c r="BS33" s="91"/>
      <c r="BT33" s="91"/>
      <c r="BU33" s="91"/>
      <c r="BV33" s="91"/>
      <c r="BW33" s="91"/>
      <c r="BX33" s="91" t="s">
        <v>206</v>
      </c>
      <c r="BY33" s="91">
        <v>33.299999999999997</v>
      </c>
      <c r="BZ33" s="91">
        <v>40.200000000000003</v>
      </c>
      <c r="CA33" s="91" t="s">
        <v>207</v>
      </c>
      <c r="CB33" s="92">
        <v>73300</v>
      </c>
      <c r="CC33" s="91">
        <v>3</v>
      </c>
      <c r="CD33" s="91">
        <v>3</v>
      </c>
      <c r="CE33" s="91">
        <v>10</v>
      </c>
      <c r="CF33" s="91">
        <v>10</v>
      </c>
      <c r="CG33" s="91">
        <v>0.6</v>
      </c>
      <c r="CH33" s="91">
        <v>0.6</v>
      </c>
      <c r="CI33" s="4" t="s">
        <v>335</v>
      </c>
      <c r="CJ33" s="4" t="s">
        <v>336</v>
      </c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 s="18"/>
      <c r="DA33"/>
    </row>
    <row r="34" spans="2:105" ht="17.25" customHeight="1">
      <c r="B34"/>
      <c r="C34" s="153"/>
      <c r="D34" s="286"/>
      <c r="E34" s="287"/>
      <c r="F34" s="153"/>
      <c r="L34" s="211">
        <v>1</v>
      </c>
      <c r="M34" s="173">
        <f t="shared" si="17"/>
        <v>0</v>
      </c>
      <c r="N34" s="173">
        <f t="shared" si="18"/>
        <v>0</v>
      </c>
      <c r="O34" s="207"/>
      <c r="P34" s="207"/>
      <c r="Q34" s="207"/>
      <c r="R34" s="207"/>
      <c r="S34" s="209"/>
      <c r="T34" s="264"/>
      <c r="U34" s="187" t="str">
        <f t="shared" si="2"/>
        <v/>
      </c>
      <c r="V34" s="188" t="str">
        <f>IFERROR(IF($O34&lt;&gt;"",IF($P34&lt;3,IF(RIGHT($O34,4)="연료연소",IFERROR(VLOOKUP($Q34,IF($P34=1,EF_Combustion1,EF_Combustion2),10,0),VLOOKUP(VLOOKUP($Q34,재분류,2,0),IF($P34=1,EF_Combustion1,EF_Combustion2),10,0)),IF(LEFT($O34,2)="이동",VLOOKUP($Q34,EF_Combustion_mobile,10,0),VLOOKUP($Q34,EF_Indirect,10,0))),"Tier3"),""),0)</f>
        <v/>
      </c>
      <c r="W34" s="226"/>
      <c r="X34" s="227" t="str">
        <f>IFERROR(IF($O34&lt;&gt;"",IF($P34&lt;3,IF(RIGHT($O34,4)="연료연소",IFERROR(VLOOKUP($Q34,IF($P34=1,EF_Combustion1,EF_Combustion2),8,0),VLOOKUP(VLOOKUP($Q34,재분류,2,0),IF($P34=1,EF_Combustion1,EF_Combustion2),8,0)),IF(LEFT($O34,2)="이동",VLOOKUP($Q34,EF_Combustion_mobile,8,0),VLOOKUP($Q34,EF_Indirect,8,0))),"Tier3"),""),0)</f>
        <v/>
      </c>
      <c r="Y34" s="228" t="str">
        <f>IFERROR(IF($O34&lt;&gt;"",IF($P34&lt;3,IF(RIGHT($O34,4)="연료연소",IFERROR(VLOOKUP($Q34,IF($P34=1,EF_Combustion1,EF_Combustion2),12,0),VLOOKUP(VLOOKUP($Q34,재분류,2,0),IF($P34=1,EF_Combustion1,EF_Combustion2),12,0)),IF(LEFT($O34,2)="이동",VLOOKUP($Q34,EF_Combustion_mobile,12,0),VLOOKUP($Q34,EF_Indirect,12,0))),"Tier3"),""),0)</f>
        <v/>
      </c>
      <c r="Z34" s="228"/>
      <c r="AA34" s="229" t="str">
        <f>IFERROR(IF($O34&lt;&gt;"",IF($P34&lt;3,IF(RIGHT($O34,4)="연료연소",IFERROR(VLOOKUP($Q34,IF($P34=1,EF_Combustion1,EF_Combustion2),11,0),VLOOKUP(VLOOKUP($Q34,재분류,2,0),IF($P34=1,EF_Combustion1,EF_Combustion2),11,0)),IF(LEFT($O34,2)="이동",VLOOKUP($Q34,EF_Combustion_mobile,11,0),VLOOKUP($Q34,EF_Indirect,11,0))),"Tier3"),""),0)</f>
        <v/>
      </c>
      <c r="AB34" s="230" t="str">
        <f>IFERROR(IF($O34&lt;&gt;"",IF($P34&lt;3,IF(RIGHT($O34,4)="연료연소",IFERROR(VLOOKUP($Q34,IF($P34=1,EF_Combustion1,EF_Combustion2),12+VLOOKUP(적용업종,업종분류,2,0),0),VLOOKUP(VLOOKUP($Q34,재분류,2,0),IF($P34=1,EF_Combustion1,EF_Combustion2),12+VLOOKUP(적용업종,업종분류,2,0),0)),IF(LEFT($O34,2)="이동",VLOOKUP($Q34,EF_Combustion_mobile,12+VLOOKUP(적용업종,업종분류,2,0),0),VLOOKUP($Q34,EF_Indirect,12+VLOOKUP(적용업종,업종분류,2,0),0))),"Tier3"),""),0)</f>
        <v/>
      </c>
      <c r="AC34" s="230"/>
      <c r="AD34" s="229" t="str">
        <f t="shared" si="3"/>
        <v/>
      </c>
      <c r="AE34" s="230" t="str">
        <f>IFERROR(IF($O34&lt;&gt;"",IF($P34&lt;3,IF(RIGHT($O34,4)="연료연소",IFERROR(VLOOKUP($Q34,IF($P34=1,EF_Combustion1,EF_Combustion2),16+VLOOKUP(적용업종,업종분류,3,0),0),VLOOKUP(VLOOKUP($Q34,재분류,2,0),IF($P34=1,EF_Combustion1,EF_Combustion2),16+VLOOKUP(적용업종,업종분류,3,0),0)),IF(LEFT($O34,2)="이동",VLOOKUP($Q34,EF_Combustion_mobile,16+VLOOKUP(적용업종,업종분류,3,0),0),VLOOKUP($Q34,EF_Indirect,16+VLOOKUP(적용업종,업종분류,3,0),0))),"Tier3"),""),0)</f>
        <v/>
      </c>
      <c r="AF34" s="230"/>
      <c r="AG34" s="225" t="str">
        <f t="shared" si="4"/>
        <v/>
      </c>
      <c r="AH34" s="189" t="str">
        <f t="shared" si="5"/>
        <v/>
      </c>
      <c r="AI34" s="210"/>
      <c r="AJ34" s="207"/>
      <c r="AK34" s="207"/>
      <c r="AL34" s="207"/>
      <c r="AM34" s="209"/>
      <c r="AN34" s="264"/>
      <c r="AO34" s="187" t="str">
        <f t="shared" si="6"/>
        <v/>
      </c>
      <c r="AP34" s="188" t="str">
        <f>IFERROR(IF($AI34&lt;&gt;"",IF($AJ34&lt;3,IF(RIGHT($AI34,4)="연료연소",IFERROR(VLOOKUP($AK34,IF($AJ34=1,EF_Combustion1,EF_Combustion2),10,0),VLOOKUP(VLOOKUP($AK34,재분류,2,0),IF($AJ34=1,EF_Combustion1,EF_Combustion2),10,0)),IF(LEFT($AI34,2)="이동",VLOOKUP($AK34,EF_Combustion_mobile,10,0),VLOOKUP($AK34,EF_Indirect,10,0))),"Tier3"),""),0)</f>
        <v/>
      </c>
      <c r="AQ34" s="226"/>
      <c r="AR34" s="227" t="str">
        <f>IFERROR(IF($AI34&lt;&gt;"",IF($AJ34&lt;3,IF(RIGHT($AI34,4)="연료연소",IFERROR(VLOOKUP($AK34,IF($AJ34=1,EF_Combustion1,EF_Combustion2),8,0),VLOOKUP(VLOOKUP($AK34,재분류,2,0),IF($AJ34=1,EF_Combustion1,EF_Combustion2),8,0)),IF(LEFT($AI34,2)="이동",VLOOKUP($AK34,EF_Combustion_mobile,8,0),VLOOKUP($AK34,EF_Indirect,8,0))),"Tier3"),""),0)</f>
        <v/>
      </c>
      <c r="AS34" s="228" t="str">
        <f>IFERROR(IF($AI34&lt;&gt;"",IF($AJ34&lt;3,IF(RIGHT($AI34,4)="연료연소",IFERROR(VLOOKUP($AK34,IF($AJ34=1,EF_Combustion1,EF_Combustion2),12,0),VLOOKUP(VLOOKUP($AK34,재분류,2,0),IF($AJ34=1,EF_Combustion1,EF_Combustion2),12,0)),IF(LEFT($AI34,2)="이동",VLOOKUP($AK34,EF_Combustion_mobile,12,0),VLOOKUP($AK34,EF_Indirect,12,0))),"Tier3"),""),0)</f>
        <v/>
      </c>
      <c r="AT34" s="228"/>
      <c r="AU34" s="229" t="str">
        <f>IFERROR(IF($AI34&lt;&gt;"",IF($AJ34&lt;3,IF(RIGHT($AI34,4)="연료연소",IFERROR(VLOOKUP($AK34,IF($AJ34=1,EF_Combustion1,EF_Combustion2),11,0),VLOOKUP(VLOOKUP($AK34,재분류,2,0),IF($AJ34=1,EF_Combustion1,EF_Combustion2),11,0)),IF(LEFT($AI34,2)="이동",VLOOKUP($AK34,EF_Combustion_mobile,11,0),VLOOKUP($AK34,EF_Indirect,11,0))),"Tier3"),""),0)</f>
        <v/>
      </c>
      <c r="AV34" s="230" t="str">
        <f>IFERROR(IF($AI34&lt;&gt;"",IF($AJ34&lt;3,IF(RIGHT($AI34,4)="연료연소",IFERROR(VLOOKUP($AK34,IF($AJ34=1,EF_Combustion1,EF_Combustion2),12+VLOOKUP(적용업종,업종분류,2,0),0),VLOOKUP(VLOOKUP($AK34,재분류,2,0),IF($AJ34=1,EF_Combustion1,EF_Combustion2),12+VLOOKUP(적용업종,업종분류,2,0),0)),IF(LEFT($AI34,2)="이동",VLOOKUP($AK34,EF_Combustion_mobile,12+VLOOKUP(적용업종,업종분류,2,0),0),VLOOKUP($AK34,EF_Indirect,12+VLOOKUP(적용업종,업종분류,2,0),0))),"Tier3"),""),0)</f>
        <v/>
      </c>
      <c r="AW34" s="230"/>
      <c r="AX34" s="229" t="str">
        <f t="shared" si="7"/>
        <v/>
      </c>
      <c r="AY34" s="230" t="str">
        <f>IFERROR(IF($AI34&lt;&gt;"",IF($AJ34&lt;3,IF(RIGHT($AI34,4)="연료연소",IFERROR(VLOOKUP($AK34,IF($AJ34=1,EF_Combustion1,EF_Combustion2),16+VLOOKUP(적용업종,업종분류,3,0),0),VLOOKUP(VLOOKUP($AK34,재분류,2,0),IF($AJ34=1,EF_Combustion1,EF_Combustion2),16+VLOOKUP(적용업종,업종분류,3,0),0)),IF(LEFT($AI34,2)="이동",VLOOKUP($AK34,EF_Combustion_mobile,16+VLOOKUP(적용업종,업종분류,3,0),0),VLOOKUP($AK34,EF_Indirect,16+VLOOKUP(적용업종,업종분류,3,0),0))),"Tier3"),""),0)</f>
        <v/>
      </c>
      <c r="AZ34" s="230"/>
      <c r="BA34" s="225" t="str">
        <f t="shared" si="8"/>
        <v/>
      </c>
      <c r="BB34" s="190" t="str">
        <f t="shared" si="9"/>
        <v/>
      </c>
      <c r="BN34" s="62" t="s">
        <v>202</v>
      </c>
      <c r="BO34" s="595"/>
      <c r="BP34" s="91" t="s">
        <v>204</v>
      </c>
      <c r="BQ34" s="91" t="s">
        <v>337</v>
      </c>
      <c r="BR34" s="91" t="s">
        <v>337</v>
      </c>
      <c r="BS34" s="91"/>
      <c r="BT34" s="91"/>
      <c r="BU34" s="91"/>
      <c r="BV34" s="91"/>
      <c r="BW34" s="91"/>
      <c r="BX34" s="91" t="s">
        <v>206</v>
      </c>
      <c r="BY34" s="91">
        <v>36.799999999999997</v>
      </c>
      <c r="BZ34" s="91">
        <v>43.8</v>
      </c>
      <c r="CA34" s="91" t="s">
        <v>207</v>
      </c>
      <c r="CB34" s="92">
        <v>71900</v>
      </c>
      <c r="CC34" s="91">
        <v>3</v>
      </c>
      <c r="CD34" s="91">
        <v>3</v>
      </c>
      <c r="CE34" s="91">
        <v>10</v>
      </c>
      <c r="CF34" s="91">
        <v>10</v>
      </c>
      <c r="CG34" s="91">
        <v>0.6</v>
      </c>
      <c r="CH34" s="91">
        <v>0.6</v>
      </c>
      <c r="CI34" s="4" t="s">
        <v>338</v>
      </c>
      <c r="CJ34" s="4" t="s">
        <v>337</v>
      </c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 s="18"/>
      <c r="DA34"/>
    </row>
    <row r="35" spans="2:105" ht="16.5" customHeight="1">
      <c r="C35" s="296"/>
      <c r="D35" s="530" t="s">
        <v>693</v>
      </c>
      <c r="E35" s="531"/>
      <c r="F35" s="531"/>
      <c r="G35" s="531"/>
      <c r="H35" s="531"/>
      <c r="I35"/>
      <c r="L35" s="211">
        <v>1</v>
      </c>
      <c r="M35" s="173">
        <f t="shared" si="17"/>
        <v>0</v>
      </c>
      <c r="N35" s="173">
        <f t="shared" si="18"/>
        <v>0</v>
      </c>
      <c r="O35" s="207"/>
      <c r="P35" s="207"/>
      <c r="Q35" s="207"/>
      <c r="R35" s="207"/>
      <c r="S35" s="209"/>
      <c r="T35" s="264"/>
      <c r="U35" s="187" t="str">
        <f t="shared" si="2"/>
        <v/>
      </c>
      <c r="V35" s="188" t="str">
        <f>IFERROR(IF($O35&lt;&gt;"",IF($P35&lt;3,IF(RIGHT($O35,4)="연료연소",IFERROR(VLOOKUP($Q35,IF($P35=1,EF_Combustion1,EF_Combustion2),10,0),VLOOKUP(VLOOKUP($Q35,재분류,2,0),IF($P35=1,EF_Combustion1,EF_Combustion2),10,0)),IF(LEFT($O35,2)="이동",VLOOKUP($Q35,EF_Combustion_mobile,10,0),VLOOKUP($Q35,EF_Indirect,10,0))),"Tier3"),""),0)</f>
        <v/>
      </c>
      <c r="W35" s="226"/>
      <c r="X35" s="227" t="str">
        <f>IFERROR(IF($O35&lt;&gt;"",IF($P35&lt;3,IF(RIGHT($O35,4)="연료연소",IFERROR(VLOOKUP($Q35,IF($P35=1,EF_Combustion1,EF_Combustion2),8,0),VLOOKUP(VLOOKUP($Q35,재분류,2,0),IF($P35=1,EF_Combustion1,EF_Combustion2),8,0)),IF(LEFT($O35,2)="이동",VLOOKUP($Q35,EF_Combustion_mobile,8,0),VLOOKUP($Q35,EF_Indirect,8,0))),"Tier3"),""),0)</f>
        <v/>
      </c>
      <c r="Y35" s="228" t="str">
        <f>IFERROR(IF($O35&lt;&gt;"",IF($P35&lt;3,IF(RIGHT($O35,4)="연료연소",IFERROR(VLOOKUP($Q35,IF($P35=1,EF_Combustion1,EF_Combustion2),12,0),VLOOKUP(VLOOKUP($Q35,재분류,2,0),IF($P35=1,EF_Combustion1,EF_Combustion2),12,0)),IF(LEFT($O35,2)="이동",VLOOKUP($Q35,EF_Combustion_mobile,12,0),VLOOKUP($Q35,EF_Indirect,12,0))),"Tier3"),""),0)</f>
        <v/>
      </c>
      <c r="Z35" s="228"/>
      <c r="AA35" s="229" t="str">
        <f>IFERROR(IF($O35&lt;&gt;"",IF($P35&lt;3,IF(RIGHT($O35,4)="연료연소",IFERROR(VLOOKUP($Q35,IF($P35=1,EF_Combustion1,EF_Combustion2),11,0),VLOOKUP(VLOOKUP($Q35,재분류,2,0),IF($P35=1,EF_Combustion1,EF_Combustion2),11,0)),IF(LEFT($O35,2)="이동",VLOOKUP($Q35,EF_Combustion_mobile,11,0),VLOOKUP($Q35,EF_Indirect,11,0))),"Tier3"),""),0)</f>
        <v/>
      </c>
      <c r="AB35" s="230" t="str">
        <f>IFERROR(IF($O35&lt;&gt;"",IF($P35&lt;3,IF(RIGHT($O35,4)="연료연소",IFERROR(VLOOKUP($Q35,IF($P35=1,EF_Combustion1,EF_Combustion2),12+VLOOKUP(적용업종,업종분류,2,0),0),VLOOKUP(VLOOKUP($Q35,재분류,2,0),IF($P35=1,EF_Combustion1,EF_Combustion2),12+VLOOKUP(적용업종,업종분류,2,0),0)),IF(LEFT($O35,2)="이동",VLOOKUP($Q35,EF_Combustion_mobile,12+VLOOKUP(적용업종,업종분류,2,0),0),VLOOKUP($Q35,EF_Indirect,12+VLOOKUP(적용업종,업종분류,2,0),0))),"Tier3"),""),0)</f>
        <v/>
      </c>
      <c r="AC35" s="230"/>
      <c r="AD35" s="229" t="str">
        <f t="shared" si="3"/>
        <v/>
      </c>
      <c r="AE35" s="230" t="str">
        <f>IFERROR(IF($O35&lt;&gt;"",IF($P35&lt;3,IF(RIGHT($O35,4)="연료연소",IFERROR(VLOOKUP($Q35,IF($P35=1,EF_Combustion1,EF_Combustion2),16+VLOOKUP(적용업종,업종분류,3,0),0),VLOOKUP(VLOOKUP($Q35,재분류,2,0),IF($P35=1,EF_Combustion1,EF_Combustion2),16+VLOOKUP(적용업종,업종분류,3,0),0)),IF(LEFT($O35,2)="이동",VLOOKUP($Q35,EF_Combustion_mobile,16+VLOOKUP(적용업종,업종분류,3,0),0),VLOOKUP($Q35,EF_Indirect,16+VLOOKUP(적용업종,업종분류,3,0),0))),"Tier3"),""),0)</f>
        <v/>
      </c>
      <c r="AF35" s="230"/>
      <c r="AG35" s="225" t="str">
        <f t="shared" si="4"/>
        <v/>
      </c>
      <c r="AH35" s="189" t="str">
        <f t="shared" si="5"/>
        <v/>
      </c>
      <c r="AI35" s="210"/>
      <c r="AJ35" s="207"/>
      <c r="AK35" s="207"/>
      <c r="AL35" s="207"/>
      <c r="AM35" s="209"/>
      <c r="AN35" s="264"/>
      <c r="AO35" s="187" t="str">
        <f t="shared" si="6"/>
        <v/>
      </c>
      <c r="AP35" s="188" t="str">
        <f>IFERROR(IF($AI35&lt;&gt;"",IF($AJ35&lt;3,IF(RIGHT($AI35,4)="연료연소",IFERROR(VLOOKUP($AK35,IF($AJ35=1,EF_Combustion1,EF_Combustion2),10,0),VLOOKUP(VLOOKUP($AK35,재분류,2,0),IF($AJ35=1,EF_Combustion1,EF_Combustion2),10,0)),IF(LEFT($AI35,2)="이동",VLOOKUP($AK35,EF_Combustion_mobile,10,0),VLOOKUP($AK35,EF_Indirect,10,0))),"Tier3"),""),0)</f>
        <v/>
      </c>
      <c r="AQ35" s="226"/>
      <c r="AR35" s="227" t="str">
        <f>IFERROR(IF($AI35&lt;&gt;"",IF($AJ35&lt;3,IF(RIGHT($AI35,4)="연료연소",IFERROR(VLOOKUP($AK35,IF($AJ35=1,EF_Combustion1,EF_Combustion2),8,0),VLOOKUP(VLOOKUP($AK35,재분류,2,0),IF($AJ35=1,EF_Combustion1,EF_Combustion2),8,0)),IF(LEFT($AI35,2)="이동",VLOOKUP($AK35,EF_Combustion_mobile,8,0),VLOOKUP($AK35,EF_Indirect,8,0))),"Tier3"),""),0)</f>
        <v/>
      </c>
      <c r="AS35" s="228" t="str">
        <f>IFERROR(IF($AI35&lt;&gt;"",IF($AJ35&lt;3,IF(RIGHT($AI35,4)="연료연소",IFERROR(VLOOKUP($AK35,IF($AJ35=1,EF_Combustion1,EF_Combustion2),12,0),VLOOKUP(VLOOKUP($AK35,재분류,2,0),IF($AJ35=1,EF_Combustion1,EF_Combustion2),12,0)),IF(LEFT($AI35,2)="이동",VLOOKUP($AK35,EF_Combustion_mobile,12,0),VLOOKUP($AK35,EF_Indirect,12,0))),"Tier3"),""),0)</f>
        <v/>
      </c>
      <c r="AT35" s="228"/>
      <c r="AU35" s="229" t="str">
        <f>IFERROR(IF($AI35&lt;&gt;"",IF($AJ35&lt;3,IF(RIGHT($AI35,4)="연료연소",IFERROR(VLOOKUP($AK35,IF($AJ35=1,EF_Combustion1,EF_Combustion2),11,0),VLOOKUP(VLOOKUP($AK35,재분류,2,0),IF($AJ35=1,EF_Combustion1,EF_Combustion2),11,0)),IF(LEFT($AI35,2)="이동",VLOOKUP($AK35,EF_Combustion_mobile,11,0),VLOOKUP($AK35,EF_Indirect,11,0))),"Tier3"),""),0)</f>
        <v/>
      </c>
      <c r="AV35" s="230" t="str">
        <f>IFERROR(IF($AI35&lt;&gt;"",IF($AJ35&lt;3,IF(RIGHT($AI35,4)="연료연소",IFERROR(VLOOKUP($AK35,IF($AJ35=1,EF_Combustion1,EF_Combustion2),12+VLOOKUP(적용업종,업종분류,2,0),0),VLOOKUP(VLOOKUP($AK35,재분류,2,0),IF($AJ35=1,EF_Combustion1,EF_Combustion2),12+VLOOKUP(적용업종,업종분류,2,0),0)),IF(LEFT($AI35,2)="이동",VLOOKUP($AK35,EF_Combustion_mobile,12+VLOOKUP(적용업종,업종분류,2,0),0),VLOOKUP($AK35,EF_Indirect,12+VLOOKUP(적용업종,업종분류,2,0),0))),"Tier3"),""),0)</f>
        <v/>
      </c>
      <c r="AW35" s="230"/>
      <c r="AX35" s="229" t="str">
        <f t="shared" si="7"/>
        <v/>
      </c>
      <c r="AY35" s="230" t="str">
        <f>IFERROR(IF($AI35&lt;&gt;"",IF($AJ35&lt;3,IF(RIGHT($AI35,4)="연료연소",IFERROR(VLOOKUP($AK35,IF($AJ35=1,EF_Combustion1,EF_Combustion2),16+VLOOKUP(적용업종,업종분류,3,0),0),VLOOKUP(VLOOKUP($AK35,재분류,2,0),IF($AJ35=1,EF_Combustion1,EF_Combustion2),16+VLOOKUP(적용업종,업종분류,3,0),0)),IF(LEFT($AI35,2)="이동",VLOOKUP($AK35,EF_Combustion_mobile,16+VLOOKUP(적용업종,업종분류,3,0),0),VLOOKUP($AK35,EF_Indirect,16+VLOOKUP(적용업종,업종분류,3,0),0))),"Tier3"),""),0)</f>
        <v/>
      </c>
      <c r="AZ35" s="230"/>
      <c r="BA35" s="225" t="str">
        <f t="shared" si="8"/>
        <v/>
      </c>
      <c r="BB35" s="190" t="str">
        <f t="shared" si="9"/>
        <v/>
      </c>
      <c r="BN35" s="62" t="s">
        <v>202</v>
      </c>
      <c r="BO35" s="595"/>
      <c r="BP35" s="91" t="s">
        <v>204</v>
      </c>
      <c r="BQ35" s="103" t="s">
        <v>339</v>
      </c>
      <c r="BR35" s="91" t="s">
        <v>340</v>
      </c>
      <c r="BS35" s="91"/>
      <c r="BT35" s="91"/>
      <c r="BU35" s="91"/>
      <c r="BV35" s="91"/>
      <c r="BW35" s="91"/>
      <c r="BX35" s="91" t="s">
        <v>206</v>
      </c>
      <c r="BY35" s="91">
        <v>36.9</v>
      </c>
      <c r="BZ35" s="91">
        <v>43.8</v>
      </c>
      <c r="CA35" s="91" t="s">
        <v>207</v>
      </c>
      <c r="CB35" s="92">
        <v>71900</v>
      </c>
      <c r="CC35" s="91">
        <v>3</v>
      </c>
      <c r="CD35" s="91">
        <v>3</v>
      </c>
      <c r="CE35" s="91">
        <v>10</v>
      </c>
      <c r="CF35" s="91">
        <v>10</v>
      </c>
      <c r="CG35" s="91">
        <v>0.6</v>
      </c>
      <c r="CH35" s="91">
        <v>0.6</v>
      </c>
      <c r="CI35" s="4" t="s">
        <v>338</v>
      </c>
      <c r="CJ35" s="4" t="s">
        <v>337</v>
      </c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 s="18"/>
      <c r="DA35"/>
    </row>
    <row r="36" spans="2:105" ht="16.5" customHeight="1">
      <c r="C36" s="297"/>
      <c r="D36" s="530"/>
      <c r="E36" s="531"/>
      <c r="F36" s="531"/>
      <c r="G36" s="531"/>
      <c r="H36" s="531"/>
      <c r="I36"/>
      <c r="BN36" s="62" t="s">
        <v>202</v>
      </c>
      <c r="BO36" s="595"/>
      <c r="BP36" s="91" t="s">
        <v>204</v>
      </c>
      <c r="BQ36" s="103" t="s">
        <v>341</v>
      </c>
      <c r="BR36" s="91" t="s">
        <v>296</v>
      </c>
      <c r="BS36" s="91"/>
      <c r="BT36" s="91"/>
      <c r="BU36" s="91"/>
      <c r="BV36" s="91"/>
      <c r="BW36" s="91"/>
      <c r="BX36" s="91" t="s">
        <v>206</v>
      </c>
      <c r="BY36" s="91">
        <v>40</v>
      </c>
      <c r="BZ36" s="91">
        <v>40.4</v>
      </c>
      <c r="CA36" s="91" t="s">
        <v>207</v>
      </c>
      <c r="CB36" s="92">
        <v>77400</v>
      </c>
      <c r="CC36" s="91">
        <v>3</v>
      </c>
      <c r="CD36" s="91">
        <v>3</v>
      </c>
      <c r="CE36" s="91">
        <v>10</v>
      </c>
      <c r="CF36" s="91">
        <v>10</v>
      </c>
      <c r="CG36" s="91">
        <v>0.6</v>
      </c>
      <c r="CH36" s="91">
        <v>0.6</v>
      </c>
      <c r="CI36" s="4" t="s">
        <v>342</v>
      </c>
      <c r="CJ36" s="4" t="s">
        <v>342</v>
      </c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 s="18"/>
      <c r="DA36"/>
    </row>
    <row r="37" spans="2:105" ht="15.75" customHeight="1">
      <c r="C37"/>
      <c r="D37"/>
      <c r="E37"/>
      <c r="F37"/>
      <c r="G37"/>
      <c r="H37"/>
      <c r="I37"/>
      <c r="BN37" s="62" t="s">
        <v>222</v>
      </c>
      <c r="BO37" s="595"/>
      <c r="BP37" s="91" t="s">
        <v>204</v>
      </c>
      <c r="BQ37" s="91" t="s">
        <v>343</v>
      </c>
      <c r="BR37" s="91" t="s">
        <v>344</v>
      </c>
      <c r="BS37" s="91"/>
      <c r="BT37" s="91"/>
      <c r="BU37" s="91"/>
      <c r="BV37" s="91"/>
      <c r="BW37" s="91"/>
      <c r="BX37" s="91" t="s">
        <v>240</v>
      </c>
      <c r="BY37" s="91">
        <v>49.6</v>
      </c>
      <c r="BZ37" s="91">
        <v>47.3</v>
      </c>
      <c r="CA37" s="91" t="s">
        <v>207</v>
      </c>
      <c r="CB37" s="92">
        <v>63100</v>
      </c>
      <c r="CC37" s="91">
        <v>1</v>
      </c>
      <c r="CD37" s="91">
        <v>1</v>
      </c>
      <c r="CE37" s="91">
        <v>5</v>
      </c>
      <c r="CF37" s="91">
        <v>5</v>
      </c>
      <c r="CG37" s="91">
        <v>0.1</v>
      </c>
      <c r="CH37" s="91">
        <v>0.1</v>
      </c>
      <c r="CI37" s="4"/>
      <c r="CJ37" s="4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 s="18"/>
      <c r="DA37"/>
    </row>
    <row r="38" spans="2:105" ht="16.5" customHeight="1">
      <c r="C38" s="288"/>
      <c r="D38" s="530" t="s">
        <v>690</v>
      </c>
      <c r="E38" s="531"/>
      <c r="F38" s="532"/>
      <c r="G38"/>
      <c r="H38"/>
      <c r="I38"/>
      <c r="BN38" s="62" t="s">
        <v>211</v>
      </c>
      <c r="BO38" s="595"/>
      <c r="BP38" s="91" t="s">
        <v>204</v>
      </c>
      <c r="BQ38" s="91" t="s">
        <v>345</v>
      </c>
      <c r="BR38" s="91" t="s">
        <v>346</v>
      </c>
      <c r="BS38" s="91"/>
      <c r="BT38" s="91"/>
      <c r="BU38" s="91"/>
      <c r="BV38" s="91"/>
      <c r="BW38" s="91"/>
      <c r="BX38" s="91" t="s">
        <v>240</v>
      </c>
      <c r="BY38" s="91">
        <v>33.5</v>
      </c>
      <c r="BZ38" s="91">
        <v>32.5</v>
      </c>
      <c r="CA38" s="91" t="s">
        <v>207</v>
      </c>
      <c r="CB38" s="92">
        <v>97500</v>
      </c>
      <c r="CC38" s="91">
        <v>3</v>
      </c>
      <c r="CD38" s="91">
        <v>3</v>
      </c>
      <c r="CE38" s="91">
        <v>10</v>
      </c>
      <c r="CF38" s="91">
        <v>10</v>
      </c>
      <c r="CG38" s="91">
        <v>0.6</v>
      </c>
      <c r="CH38" s="91">
        <v>0.6</v>
      </c>
      <c r="CI38" s="4"/>
      <c r="CJ38" s="4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 s="18"/>
      <c r="DA38"/>
    </row>
    <row r="39" spans="2:105" ht="17.25" customHeight="1">
      <c r="C39" s="289"/>
      <c r="D39" s="530"/>
      <c r="E39" s="531"/>
      <c r="F39" s="532"/>
      <c r="G39"/>
      <c r="H39"/>
      <c r="I39"/>
      <c r="BN39" s="62" t="s">
        <v>211</v>
      </c>
      <c r="BO39" s="595"/>
      <c r="BP39" s="91" t="s">
        <v>204</v>
      </c>
      <c r="BQ39" s="91" t="s">
        <v>347</v>
      </c>
      <c r="BR39" s="91" t="s">
        <v>348</v>
      </c>
      <c r="BS39" s="91"/>
      <c r="BT39" s="91"/>
      <c r="BU39" s="91"/>
      <c r="BV39" s="91"/>
      <c r="BW39" s="91"/>
      <c r="BX39" s="91" t="s">
        <v>240</v>
      </c>
      <c r="BY39" s="91">
        <v>21</v>
      </c>
      <c r="BZ39" s="91">
        <v>26.7</v>
      </c>
      <c r="CA39" s="91" t="s">
        <v>207</v>
      </c>
      <c r="CB39" s="92">
        <v>98300</v>
      </c>
      <c r="CC39" s="91">
        <v>1</v>
      </c>
      <c r="CD39" s="91">
        <v>10</v>
      </c>
      <c r="CE39" s="91">
        <v>10</v>
      </c>
      <c r="CF39" s="91">
        <v>300</v>
      </c>
      <c r="CG39" s="91">
        <v>1.5</v>
      </c>
      <c r="CH39" s="91">
        <v>1.5</v>
      </c>
      <c r="CI39" s="4" t="s">
        <v>265</v>
      </c>
      <c r="CJ39" s="4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 s="18"/>
      <c r="DA39"/>
    </row>
    <row r="40" spans="2:105">
      <c r="BN40" s="62" t="s">
        <v>211</v>
      </c>
      <c r="BO40" s="595"/>
      <c r="BP40" s="91" t="s">
        <v>204</v>
      </c>
      <c r="BQ40" s="91" t="s">
        <v>349</v>
      </c>
      <c r="BR40" s="91" t="s">
        <v>349</v>
      </c>
      <c r="BS40" s="91"/>
      <c r="BT40" s="91"/>
      <c r="BU40" s="91"/>
      <c r="BV40" s="91"/>
      <c r="BW40" s="91"/>
      <c r="BX40" s="91" t="s">
        <v>240</v>
      </c>
      <c r="BY40" s="91">
        <v>24.7</v>
      </c>
      <c r="BZ40" s="91">
        <v>26.7</v>
      </c>
      <c r="CA40" s="91" t="s">
        <v>207</v>
      </c>
      <c r="CB40" s="92">
        <v>98300</v>
      </c>
      <c r="CC40" s="91">
        <v>1</v>
      </c>
      <c r="CD40" s="91">
        <v>10</v>
      </c>
      <c r="CE40" s="91">
        <v>10</v>
      </c>
      <c r="CF40" s="91">
        <v>300</v>
      </c>
      <c r="CG40" s="91">
        <v>1.5</v>
      </c>
      <c r="CH40" s="91">
        <v>1.5</v>
      </c>
      <c r="CI40" s="4" t="s">
        <v>265</v>
      </c>
      <c r="CJ40" s="4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 s="18"/>
      <c r="DA40"/>
    </row>
    <row r="41" spans="2:105">
      <c r="C41" s="533"/>
      <c r="D41" s="530" t="s">
        <v>691</v>
      </c>
      <c r="E41" s="531"/>
      <c r="F41" s="532"/>
      <c r="BN41" s="62" t="s">
        <v>222</v>
      </c>
      <c r="BO41" s="595"/>
      <c r="BP41" s="91" t="s">
        <v>204</v>
      </c>
      <c r="BQ41" s="91" t="s">
        <v>350</v>
      </c>
      <c r="BR41" s="91" t="s">
        <v>350</v>
      </c>
      <c r="BS41" s="91"/>
      <c r="BT41" s="91"/>
      <c r="BU41" s="91"/>
      <c r="BV41" s="91"/>
      <c r="BW41" s="91"/>
      <c r="BX41" s="91" t="s">
        <v>240</v>
      </c>
      <c r="BY41" s="91">
        <v>55.38</v>
      </c>
      <c r="BZ41" s="91">
        <v>50.4</v>
      </c>
      <c r="CA41" s="91" t="s">
        <v>207</v>
      </c>
      <c r="CB41" s="92">
        <v>54600</v>
      </c>
      <c r="CC41" s="91">
        <v>1</v>
      </c>
      <c r="CD41" s="91">
        <v>1</v>
      </c>
      <c r="CE41" s="91">
        <v>5</v>
      </c>
      <c r="CF41" s="91">
        <v>5</v>
      </c>
      <c r="CG41" s="91">
        <v>0.1</v>
      </c>
      <c r="CH41" s="91">
        <v>0.1</v>
      </c>
      <c r="CI41" s="4" t="s">
        <v>351</v>
      </c>
      <c r="CJ41" s="4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 s="18"/>
      <c r="DA41"/>
    </row>
    <row r="42" spans="2:105" ht="17.25" thickBot="1">
      <c r="C42" s="534"/>
      <c r="D42" s="530"/>
      <c r="E42" s="531"/>
      <c r="F42" s="532"/>
      <c r="BN42" s="62" t="s">
        <v>202</v>
      </c>
      <c r="BO42" s="595"/>
      <c r="BP42" s="91" t="s">
        <v>204</v>
      </c>
      <c r="BQ42" s="91" t="s">
        <v>352</v>
      </c>
      <c r="BR42" s="91" t="s">
        <v>340</v>
      </c>
      <c r="BS42" s="91"/>
      <c r="BT42" s="91"/>
      <c r="BU42" s="91"/>
      <c r="BV42" s="91"/>
      <c r="BW42" s="91"/>
      <c r="BX42" s="91" t="s">
        <v>206</v>
      </c>
      <c r="BY42" s="91">
        <v>36.799999999999997</v>
      </c>
      <c r="BZ42" s="91">
        <v>43.8</v>
      </c>
      <c r="CA42" s="91" t="s">
        <v>207</v>
      </c>
      <c r="CB42" s="92">
        <v>71900</v>
      </c>
      <c r="CC42" s="91">
        <v>3</v>
      </c>
      <c r="CD42" s="91">
        <v>3</v>
      </c>
      <c r="CE42" s="91">
        <v>10</v>
      </c>
      <c r="CF42" s="91">
        <v>10</v>
      </c>
      <c r="CG42" s="91">
        <v>0.6</v>
      </c>
      <c r="CH42" s="91">
        <v>0.6</v>
      </c>
      <c r="CI42" s="4" t="s">
        <v>353</v>
      </c>
      <c r="CJ42" s="4" t="s">
        <v>337</v>
      </c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 s="18"/>
      <c r="DA42"/>
    </row>
    <row r="43" spans="2:105">
      <c r="BN43" s="62" t="s">
        <v>202</v>
      </c>
      <c r="BO43" s="595"/>
      <c r="BP43" s="91" t="s">
        <v>204</v>
      </c>
      <c r="BQ43" s="91" t="s">
        <v>344</v>
      </c>
      <c r="BR43" s="91" t="s">
        <v>344</v>
      </c>
      <c r="BS43" s="91"/>
      <c r="BT43" s="91"/>
      <c r="BU43" s="91"/>
      <c r="BV43" s="91"/>
      <c r="BW43" s="91"/>
      <c r="BX43" s="91" t="s">
        <v>240</v>
      </c>
      <c r="BY43" s="91">
        <v>50.4</v>
      </c>
      <c r="BZ43" s="91">
        <v>47.3</v>
      </c>
      <c r="CA43" s="91" t="s">
        <v>207</v>
      </c>
      <c r="CB43" s="92">
        <v>63100</v>
      </c>
      <c r="CC43" s="91">
        <v>1</v>
      </c>
      <c r="CD43" s="91">
        <v>1</v>
      </c>
      <c r="CE43" s="91">
        <v>5</v>
      </c>
      <c r="CF43" s="91">
        <v>5</v>
      </c>
      <c r="CG43" s="91">
        <v>0.1</v>
      </c>
      <c r="CH43" s="91">
        <v>0.1</v>
      </c>
      <c r="CI43" s="4"/>
      <c r="CJ43" s="4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 s="18"/>
      <c r="DA43"/>
    </row>
    <row r="44" spans="2:105">
      <c r="BN44" s="62" t="s">
        <v>211</v>
      </c>
      <c r="BO44" s="595"/>
      <c r="BP44" s="91" t="s">
        <v>204</v>
      </c>
      <c r="BQ44" s="91" t="s">
        <v>234</v>
      </c>
      <c r="BR44" s="91" t="s">
        <v>234</v>
      </c>
      <c r="BS44" s="91"/>
      <c r="BT44" s="91"/>
      <c r="BU44" s="91"/>
      <c r="BV44" s="91"/>
      <c r="BW44" s="91"/>
      <c r="BX44" s="91" t="s">
        <v>240</v>
      </c>
      <c r="BY44" s="91">
        <v>25.8</v>
      </c>
      <c r="BZ44" s="91">
        <v>25.8</v>
      </c>
      <c r="CA44" s="91" t="s">
        <v>207</v>
      </c>
      <c r="CB44" s="92">
        <v>94600</v>
      </c>
      <c r="CC44" s="91">
        <v>1</v>
      </c>
      <c r="CD44" s="91">
        <v>10</v>
      </c>
      <c r="CE44" s="91">
        <v>10</v>
      </c>
      <c r="CF44" s="91">
        <v>300</v>
      </c>
      <c r="CG44" s="91">
        <v>1.5</v>
      </c>
      <c r="CH44" s="91">
        <v>1.5</v>
      </c>
      <c r="CI44" s="4" t="s">
        <v>354</v>
      </c>
      <c r="CJ44" s="4" t="s">
        <v>355</v>
      </c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 s="18"/>
      <c r="DA44"/>
    </row>
    <row r="45" spans="2:105">
      <c r="BN45" s="62" t="s">
        <v>211</v>
      </c>
      <c r="BO45" s="595"/>
      <c r="BP45" s="91" t="s">
        <v>204</v>
      </c>
      <c r="BQ45" s="91" t="s">
        <v>356</v>
      </c>
      <c r="BR45" s="91" t="s">
        <v>325</v>
      </c>
      <c r="BS45" s="91"/>
      <c r="BT45" s="91"/>
      <c r="BU45" s="91"/>
      <c r="BV45" s="91"/>
      <c r="BW45" s="91"/>
      <c r="BX45" s="91" t="s">
        <v>357</v>
      </c>
      <c r="BY45" s="91">
        <v>16.100000000000001</v>
      </c>
      <c r="BZ45" s="91">
        <v>15.6</v>
      </c>
      <c r="CA45" s="91" t="s">
        <v>207</v>
      </c>
      <c r="CB45" s="92">
        <v>112000</v>
      </c>
      <c r="CC45" s="91">
        <v>30</v>
      </c>
      <c r="CD45" s="91">
        <v>30</v>
      </c>
      <c r="CE45" s="91">
        <v>300</v>
      </c>
      <c r="CF45" s="91">
        <v>300</v>
      </c>
      <c r="CG45" s="91">
        <v>4</v>
      </c>
      <c r="CH45" s="91">
        <v>4</v>
      </c>
      <c r="CI45" s="4"/>
      <c r="CJ45" s="4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 s="18"/>
      <c r="DA45"/>
    </row>
    <row r="46" spans="2:105">
      <c r="BN46" s="62" t="s">
        <v>211</v>
      </c>
      <c r="BO46" s="595"/>
      <c r="BP46" s="91" t="s">
        <v>204</v>
      </c>
      <c r="BQ46" s="91" t="s">
        <v>358</v>
      </c>
      <c r="BR46" s="91" t="s">
        <v>239</v>
      </c>
      <c r="BS46" s="91"/>
      <c r="BT46" s="91"/>
      <c r="BU46" s="91"/>
      <c r="BV46" s="91"/>
      <c r="BW46" s="91"/>
      <c r="BX46" s="91" t="s">
        <v>240</v>
      </c>
      <c r="BY46" s="91">
        <v>13.62</v>
      </c>
      <c r="BZ46" s="91">
        <v>11.6</v>
      </c>
      <c r="CA46" s="91" t="s">
        <v>207</v>
      </c>
      <c r="CB46" s="92">
        <v>100000</v>
      </c>
      <c r="CC46" s="91">
        <v>30</v>
      </c>
      <c r="CD46" s="91">
        <v>30</v>
      </c>
      <c r="CE46" s="91">
        <v>300</v>
      </c>
      <c r="CF46" s="91">
        <v>300</v>
      </c>
      <c r="CG46" s="91">
        <v>4</v>
      </c>
      <c r="CH46" s="91">
        <v>4</v>
      </c>
      <c r="CI46" s="4" t="s">
        <v>241</v>
      </c>
      <c r="CJ46" s="4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 s="18"/>
      <c r="DA46"/>
    </row>
    <row r="47" spans="2:105">
      <c r="BN47" s="62" t="s">
        <v>202</v>
      </c>
      <c r="BO47" s="595"/>
      <c r="BP47" s="91" t="s">
        <v>204</v>
      </c>
      <c r="BQ47" s="91" t="s">
        <v>359</v>
      </c>
      <c r="BR47" s="91" t="s">
        <v>359</v>
      </c>
      <c r="BS47" s="91"/>
      <c r="BT47" s="91"/>
      <c r="BU47" s="91"/>
      <c r="BV47" s="91"/>
      <c r="BW47" s="91"/>
      <c r="BX47" s="91" t="s">
        <v>206</v>
      </c>
      <c r="BY47" s="91">
        <v>39.799999999999997</v>
      </c>
      <c r="BZ47" s="91">
        <v>40.200000000000003</v>
      </c>
      <c r="CA47" s="91" t="s">
        <v>207</v>
      </c>
      <c r="CB47" s="92">
        <v>73300</v>
      </c>
      <c r="CC47" s="91">
        <v>3</v>
      </c>
      <c r="CD47" s="91">
        <v>3</v>
      </c>
      <c r="CE47" s="91">
        <v>10</v>
      </c>
      <c r="CF47" s="91">
        <v>10</v>
      </c>
      <c r="CG47" s="91">
        <v>0.6</v>
      </c>
      <c r="CH47" s="91">
        <v>0.6</v>
      </c>
      <c r="CI47" s="4" t="s">
        <v>360</v>
      </c>
      <c r="CJ47" s="4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 s="18"/>
      <c r="DA47"/>
    </row>
    <row r="48" spans="2:105">
      <c r="BN48" s="62"/>
      <c r="BO48" s="595"/>
      <c r="BP48" s="91" t="s">
        <v>204</v>
      </c>
      <c r="BQ48" s="91" t="s">
        <v>361</v>
      </c>
      <c r="BR48" s="91" t="s">
        <v>362</v>
      </c>
      <c r="BS48" s="91"/>
      <c r="BT48" s="91"/>
      <c r="BU48" s="91"/>
      <c r="BV48" s="91"/>
      <c r="BW48" s="91"/>
      <c r="BX48" s="91" t="s">
        <v>240</v>
      </c>
      <c r="BY48" s="91">
        <v>45.74</v>
      </c>
      <c r="BZ48" s="91">
        <v>43</v>
      </c>
      <c r="CA48" s="91" t="s">
        <v>207</v>
      </c>
      <c r="CB48" s="92">
        <v>73300</v>
      </c>
      <c r="CC48" s="91">
        <v>3</v>
      </c>
      <c r="CD48" s="91">
        <v>3</v>
      </c>
      <c r="CE48" s="91">
        <v>10</v>
      </c>
      <c r="CF48" s="91">
        <v>10</v>
      </c>
      <c r="CG48" s="91">
        <v>0.6</v>
      </c>
      <c r="CH48" s="91">
        <v>0.6</v>
      </c>
      <c r="CI48" s="4" t="s">
        <v>363</v>
      </c>
      <c r="CJ48" s="4" t="s">
        <v>363</v>
      </c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 s="18"/>
      <c r="DA48"/>
    </row>
    <row r="49" spans="66:105">
      <c r="BN49" s="62" t="s">
        <v>222</v>
      </c>
      <c r="BO49" s="595"/>
      <c r="BP49" s="91" t="s">
        <v>204</v>
      </c>
      <c r="BQ49" s="91" t="s">
        <v>304</v>
      </c>
      <c r="BR49" s="91" t="s">
        <v>304</v>
      </c>
      <c r="BS49" s="91"/>
      <c r="BT49" s="91"/>
      <c r="BU49" s="91"/>
      <c r="BV49" s="91"/>
      <c r="BW49" s="91"/>
      <c r="BX49" s="91" t="s">
        <v>240</v>
      </c>
      <c r="BY49" s="91">
        <v>54.6</v>
      </c>
      <c r="BZ49" s="91">
        <v>48</v>
      </c>
      <c r="CA49" s="91" t="s">
        <v>207</v>
      </c>
      <c r="CB49" s="92">
        <v>56100</v>
      </c>
      <c r="CC49" s="91">
        <v>1</v>
      </c>
      <c r="CD49" s="91">
        <v>1</v>
      </c>
      <c r="CE49" s="91">
        <v>5</v>
      </c>
      <c r="CF49" s="91">
        <v>5</v>
      </c>
      <c r="CG49" s="91">
        <v>0.1</v>
      </c>
      <c r="CH49" s="91">
        <v>0.1</v>
      </c>
      <c r="CI49" s="4" t="s">
        <v>364</v>
      </c>
      <c r="CJ49" s="4" t="s">
        <v>304</v>
      </c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 s="18"/>
      <c r="DA49"/>
    </row>
    <row r="50" spans="66:105">
      <c r="BN50" s="62" t="s">
        <v>211</v>
      </c>
      <c r="BO50" s="595"/>
      <c r="BP50" s="91" t="s">
        <v>204</v>
      </c>
      <c r="BQ50" s="91" t="s">
        <v>365</v>
      </c>
      <c r="BR50" s="91" t="s">
        <v>365</v>
      </c>
      <c r="BS50" s="91"/>
      <c r="BT50" s="91"/>
      <c r="BU50" s="91"/>
      <c r="BV50" s="91"/>
      <c r="BW50" s="91"/>
      <c r="BX50" s="91" t="s">
        <v>240</v>
      </c>
      <c r="BY50" s="91">
        <v>29.1</v>
      </c>
      <c r="BZ50" s="91">
        <v>28.2</v>
      </c>
      <c r="CA50" s="91" t="s">
        <v>207</v>
      </c>
      <c r="CB50" s="92">
        <v>107000</v>
      </c>
      <c r="CC50" s="91">
        <v>1</v>
      </c>
      <c r="CD50" s="91">
        <v>10</v>
      </c>
      <c r="CE50" s="91">
        <v>10</v>
      </c>
      <c r="CF50" s="91">
        <v>300</v>
      </c>
      <c r="CG50" s="91">
        <v>1.5</v>
      </c>
      <c r="CH50" s="91">
        <v>1.5</v>
      </c>
      <c r="CI50" s="4" t="s">
        <v>366</v>
      </c>
      <c r="CJ50" s="4" t="s">
        <v>367</v>
      </c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 s="18"/>
      <c r="DA50"/>
    </row>
    <row r="51" spans="66:105">
      <c r="BN51" s="62" t="s">
        <v>222</v>
      </c>
      <c r="BO51" s="595"/>
      <c r="BP51" s="91" t="s">
        <v>204</v>
      </c>
      <c r="BQ51" s="91" t="s">
        <v>368</v>
      </c>
      <c r="BR51" s="91" t="s">
        <v>304</v>
      </c>
      <c r="BS51" s="91"/>
      <c r="BT51" s="91"/>
      <c r="BU51" s="91"/>
      <c r="BV51" s="91"/>
      <c r="BW51" s="91"/>
      <c r="BX51" s="91" t="s">
        <v>312</v>
      </c>
      <c r="BY51" s="91">
        <v>43.6</v>
      </c>
      <c r="BZ51" s="91">
        <v>48</v>
      </c>
      <c r="CA51" s="91" t="s">
        <v>207</v>
      </c>
      <c r="CB51" s="92">
        <v>56100</v>
      </c>
      <c r="CC51" s="91">
        <v>1</v>
      </c>
      <c r="CD51" s="91">
        <v>1</v>
      </c>
      <c r="CE51" s="91">
        <v>5</v>
      </c>
      <c r="CF51" s="91">
        <v>5</v>
      </c>
      <c r="CG51" s="91">
        <v>0.1</v>
      </c>
      <c r="CH51" s="91">
        <v>0.1</v>
      </c>
      <c r="CI51" s="91" t="s">
        <v>364</v>
      </c>
      <c r="CJ51" s="91" t="s">
        <v>304</v>
      </c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 s="18"/>
      <c r="DA51"/>
    </row>
    <row r="52" spans="66:105">
      <c r="BN52" s="62" t="s">
        <v>211</v>
      </c>
      <c r="BO52" s="595"/>
      <c r="BP52" s="91" t="s">
        <v>204</v>
      </c>
      <c r="BQ52" s="91" t="s">
        <v>369</v>
      </c>
      <c r="BR52" s="91" t="s">
        <v>325</v>
      </c>
      <c r="BS52" s="91"/>
      <c r="BT52" s="91"/>
      <c r="BU52" s="91"/>
      <c r="BV52" s="91"/>
      <c r="BW52" s="91"/>
      <c r="BX52" s="91" t="s">
        <v>240</v>
      </c>
      <c r="BY52" s="91">
        <v>16.079999999999998</v>
      </c>
      <c r="BZ52" s="91">
        <v>15.6</v>
      </c>
      <c r="CA52" s="91" t="s">
        <v>207</v>
      </c>
      <c r="CB52" s="92">
        <v>112000</v>
      </c>
      <c r="CC52" s="91">
        <v>30</v>
      </c>
      <c r="CD52" s="91">
        <v>30</v>
      </c>
      <c r="CE52" s="91">
        <v>300</v>
      </c>
      <c r="CF52" s="91">
        <v>300</v>
      </c>
      <c r="CG52" s="91">
        <v>4</v>
      </c>
      <c r="CH52" s="91">
        <v>4</v>
      </c>
      <c r="CI52" s="4"/>
      <c r="CJ52" s="4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 s="18"/>
      <c r="DA52"/>
    </row>
    <row r="53" spans="66:105">
      <c r="BN53" s="62" t="s">
        <v>202</v>
      </c>
      <c r="BO53" s="595"/>
      <c r="BP53" s="91" t="s">
        <v>204</v>
      </c>
      <c r="BQ53" s="91" t="s">
        <v>370</v>
      </c>
      <c r="BR53" s="91" t="s">
        <v>291</v>
      </c>
      <c r="BS53" s="91"/>
      <c r="BT53" s="91"/>
      <c r="BU53" s="91"/>
      <c r="BV53" s="91"/>
      <c r="BW53" s="91"/>
      <c r="BX53" s="91" t="s">
        <v>206</v>
      </c>
      <c r="BY53" s="91">
        <v>42.8</v>
      </c>
      <c r="BZ53" s="91">
        <v>40.200000000000003</v>
      </c>
      <c r="CA53" s="91" t="s">
        <v>207</v>
      </c>
      <c r="CB53" s="92">
        <v>73300</v>
      </c>
      <c r="CC53" s="91">
        <v>30</v>
      </c>
      <c r="CD53" s="91">
        <v>30</v>
      </c>
      <c r="CE53" s="91">
        <v>300</v>
      </c>
      <c r="CF53" s="91">
        <v>300</v>
      </c>
      <c r="CG53" s="91">
        <v>4</v>
      </c>
      <c r="CH53" s="91">
        <v>4</v>
      </c>
      <c r="CI53" s="4"/>
      <c r="CJ53" s="4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 s="18"/>
      <c r="DA53"/>
    </row>
    <row r="54" spans="66:105">
      <c r="BN54" s="62" t="s">
        <v>211</v>
      </c>
      <c r="BO54" s="595"/>
      <c r="BP54" s="91" t="s">
        <v>204</v>
      </c>
      <c r="BQ54" s="91" t="s">
        <v>371</v>
      </c>
      <c r="BR54" s="91" t="s">
        <v>247</v>
      </c>
      <c r="BS54" s="91"/>
      <c r="BT54" s="91"/>
      <c r="BU54" s="91"/>
      <c r="BV54" s="91"/>
      <c r="BW54" s="91"/>
      <c r="BX54" s="91" t="s">
        <v>240</v>
      </c>
      <c r="BY54" s="91">
        <v>10.31</v>
      </c>
      <c r="BZ54" s="91">
        <v>10</v>
      </c>
      <c r="CA54" s="91" t="s">
        <v>207</v>
      </c>
      <c r="CB54" s="92">
        <v>91700</v>
      </c>
      <c r="CC54" s="91">
        <v>30</v>
      </c>
      <c r="CD54" s="91">
        <v>30</v>
      </c>
      <c r="CE54" s="91">
        <v>300</v>
      </c>
      <c r="CF54" s="91">
        <v>300</v>
      </c>
      <c r="CG54" s="91">
        <v>4</v>
      </c>
      <c r="CH54" s="91">
        <v>4</v>
      </c>
      <c r="CI54" s="4" t="s">
        <v>248</v>
      </c>
      <c r="CJ54" s="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 s="18"/>
      <c r="DA54"/>
    </row>
    <row r="55" spans="66:105">
      <c r="BN55" s="62" t="s">
        <v>222</v>
      </c>
      <c r="BO55" s="595"/>
      <c r="BP55" s="91" t="s">
        <v>204</v>
      </c>
      <c r="BQ55" s="91" t="s">
        <v>372</v>
      </c>
      <c r="BR55" s="91" t="s">
        <v>344</v>
      </c>
      <c r="BS55" s="91"/>
      <c r="BT55" s="91"/>
      <c r="BU55" s="91"/>
      <c r="BV55" s="91"/>
      <c r="BW55" s="91"/>
      <c r="BX55" s="91" t="s">
        <v>240</v>
      </c>
      <c r="BY55" s="91">
        <v>50.4</v>
      </c>
      <c r="BZ55" s="91">
        <v>47.3</v>
      </c>
      <c r="CA55" s="91" t="s">
        <v>207</v>
      </c>
      <c r="CB55" s="92">
        <v>63100</v>
      </c>
      <c r="CC55" s="91">
        <v>1</v>
      </c>
      <c r="CD55" s="91">
        <v>1</v>
      </c>
      <c r="CE55" s="91">
        <v>5</v>
      </c>
      <c r="CF55" s="91">
        <v>5</v>
      </c>
      <c r="CG55" s="91">
        <v>0.1</v>
      </c>
      <c r="CH55" s="91">
        <v>0.1</v>
      </c>
      <c r="CI55" s="4"/>
      <c r="CJ55" s="4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 s="18"/>
      <c r="DA55"/>
    </row>
    <row r="56" spans="66:105">
      <c r="BN56" s="62" t="s">
        <v>211</v>
      </c>
      <c r="BO56" s="595"/>
      <c r="BP56" s="91" t="s">
        <v>204</v>
      </c>
      <c r="BQ56" s="91" t="s">
        <v>373</v>
      </c>
      <c r="BR56" s="91" t="s">
        <v>374</v>
      </c>
      <c r="BS56" s="91"/>
      <c r="BT56" s="91"/>
      <c r="BU56" s="91"/>
      <c r="BV56" s="91"/>
      <c r="BW56" s="91"/>
      <c r="BX56" s="91" t="s">
        <v>240</v>
      </c>
      <c r="BY56" s="91">
        <v>10.31</v>
      </c>
      <c r="BZ56" s="91">
        <v>10</v>
      </c>
      <c r="CA56" s="91" t="s">
        <v>207</v>
      </c>
      <c r="CB56" s="92">
        <v>143000</v>
      </c>
      <c r="CC56" s="91">
        <v>30</v>
      </c>
      <c r="CD56" s="91">
        <v>30</v>
      </c>
      <c r="CE56" s="91">
        <v>300</v>
      </c>
      <c r="CF56" s="91">
        <v>300</v>
      </c>
      <c r="CG56" s="91">
        <v>4</v>
      </c>
      <c r="CH56" s="91">
        <v>4</v>
      </c>
      <c r="CI56" s="4"/>
      <c r="CJ56" s="4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 s="18"/>
      <c r="DA56"/>
    </row>
    <row r="57" spans="66:105">
      <c r="BN57" s="62" t="s">
        <v>202</v>
      </c>
      <c r="BO57" s="596" t="s">
        <v>375</v>
      </c>
      <c r="BP57" s="104" t="s">
        <v>376</v>
      </c>
      <c r="BQ57" s="104" t="s">
        <v>377</v>
      </c>
      <c r="BR57" s="104" t="s">
        <v>378</v>
      </c>
      <c r="BS57" s="104"/>
      <c r="BT57" s="104"/>
      <c r="BU57" s="104"/>
      <c r="BV57" s="104"/>
      <c r="BW57" s="104"/>
      <c r="BX57" s="104" t="s">
        <v>206</v>
      </c>
      <c r="BY57" s="104">
        <v>32.6</v>
      </c>
      <c r="BZ57" s="104">
        <v>44.3</v>
      </c>
      <c r="CA57" s="104" t="s">
        <v>207</v>
      </c>
      <c r="CB57" s="105">
        <v>69300</v>
      </c>
      <c r="CC57" s="106">
        <v>25</v>
      </c>
      <c r="CD57" s="106">
        <v>25</v>
      </c>
      <c r="CE57" s="106">
        <v>25</v>
      </c>
      <c r="CF57" s="106">
        <v>25</v>
      </c>
      <c r="CG57" s="106">
        <v>8</v>
      </c>
      <c r="CH57" s="106">
        <v>8</v>
      </c>
      <c r="CI57" s="107"/>
      <c r="CJ57" s="4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 s="18"/>
      <c r="DA57"/>
    </row>
    <row r="58" spans="66:105">
      <c r="BN58" s="62" t="s">
        <v>202</v>
      </c>
      <c r="BO58" s="597"/>
      <c r="BP58" s="104" t="s">
        <v>376</v>
      </c>
      <c r="BQ58" s="104" t="s">
        <v>379</v>
      </c>
      <c r="BR58" s="104"/>
      <c r="BS58" s="104"/>
      <c r="BT58" s="104"/>
      <c r="BU58" s="104"/>
      <c r="BV58" s="104"/>
      <c r="BW58" s="104"/>
      <c r="BX58" s="104" t="s">
        <v>206</v>
      </c>
      <c r="BY58" s="104">
        <v>37.700000000000003</v>
      </c>
      <c r="BZ58" s="104">
        <v>43</v>
      </c>
      <c r="CA58" s="104" t="s">
        <v>207</v>
      </c>
      <c r="CB58" s="105">
        <v>74100</v>
      </c>
      <c r="CC58" s="106">
        <v>3.9</v>
      </c>
      <c r="CD58" s="106">
        <v>3.9</v>
      </c>
      <c r="CE58" s="106">
        <v>3.9</v>
      </c>
      <c r="CF58" s="106">
        <v>3.9</v>
      </c>
      <c r="CG58" s="106">
        <v>3.9</v>
      </c>
      <c r="CH58" s="106">
        <v>3.9</v>
      </c>
      <c r="CI58" s="107"/>
      <c r="CJ58" s="4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 s="18"/>
      <c r="DA58"/>
    </row>
    <row r="59" spans="66:105">
      <c r="BN59" s="62" t="s">
        <v>222</v>
      </c>
      <c r="BO59" s="597"/>
      <c r="BP59" s="104" t="s">
        <v>376</v>
      </c>
      <c r="BQ59" s="104" t="s">
        <v>380</v>
      </c>
      <c r="BR59" s="104" t="s">
        <v>304</v>
      </c>
      <c r="BS59" s="104"/>
      <c r="BT59" s="104"/>
      <c r="BU59" s="104"/>
      <c r="BV59" s="104"/>
      <c r="BW59" s="104"/>
      <c r="BX59" s="104" t="s">
        <v>312</v>
      </c>
      <c r="BY59" s="104">
        <v>43.6</v>
      </c>
      <c r="BZ59" s="104">
        <v>48</v>
      </c>
      <c r="CA59" s="104" t="s">
        <v>207</v>
      </c>
      <c r="CB59" s="105">
        <v>56100</v>
      </c>
      <c r="CC59" s="106">
        <v>92</v>
      </c>
      <c r="CD59" s="106">
        <v>92</v>
      </c>
      <c r="CE59" s="106">
        <v>92</v>
      </c>
      <c r="CF59" s="106">
        <v>92</v>
      </c>
      <c r="CG59" s="106">
        <v>3</v>
      </c>
      <c r="CH59" s="106">
        <v>3</v>
      </c>
      <c r="CI59" s="107"/>
      <c r="CJ59" s="4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 s="18"/>
      <c r="DA59"/>
    </row>
    <row r="60" spans="66:105">
      <c r="BN60" s="62" t="s">
        <v>222</v>
      </c>
      <c r="BO60" s="597"/>
      <c r="BP60" s="104" t="s">
        <v>376</v>
      </c>
      <c r="BQ60" s="104" t="s">
        <v>381</v>
      </c>
      <c r="BR60" s="104" t="s">
        <v>304</v>
      </c>
      <c r="BS60" s="104"/>
      <c r="BT60" s="104"/>
      <c r="BU60" s="104"/>
      <c r="BV60" s="104"/>
      <c r="BW60" s="104"/>
      <c r="BX60" s="104" t="s">
        <v>312</v>
      </c>
      <c r="BY60" s="104">
        <v>43.6</v>
      </c>
      <c r="BZ60" s="104">
        <v>48</v>
      </c>
      <c r="CA60" s="104" t="s">
        <v>207</v>
      </c>
      <c r="CB60" s="105">
        <v>56100</v>
      </c>
      <c r="CC60" s="106">
        <v>92</v>
      </c>
      <c r="CD60" s="106">
        <v>92</v>
      </c>
      <c r="CE60" s="106">
        <v>92</v>
      </c>
      <c r="CF60" s="106">
        <v>92</v>
      </c>
      <c r="CG60" s="106">
        <v>3</v>
      </c>
      <c r="CH60" s="106">
        <v>3</v>
      </c>
      <c r="CI60" s="107"/>
      <c r="CJ60" s="4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 s="18"/>
      <c r="DA60"/>
    </row>
    <row r="61" spans="66:105">
      <c r="BN61" s="62" t="s">
        <v>202</v>
      </c>
      <c r="BO61" s="597"/>
      <c r="BP61" s="104" t="s">
        <v>376</v>
      </c>
      <c r="BQ61" s="104" t="s">
        <v>382</v>
      </c>
      <c r="BR61" s="104" t="s">
        <v>344</v>
      </c>
      <c r="BS61" s="104"/>
      <c r="BT61" s="104"/>
      <c r="BU61" s="104"/>
      <c r="BV61" s="104"/>
      <c r="BW61" s="104"/>
      <c r="BX61" s="104" t="s">
        <v>240</v>
      </c>
      <c r="BY61" s="104">
        <v>49.6</v>
      </c>
      <c r="BZ61" s="104">
        <v>47.3</v>
      </c>
      <c r="CA61" s="104" t="s">
        <v>207</v>
      </c>
      <c r="CB61" s="108">
        <v>63100</v>
      </c>
      <c r="CC61" s="106">
        <v>62</v>
      </c>
      <c r="CD61" s="106">
        <v>62</v>
      </c>
      <c r="CE61" s="106">
        <v>62</v>
      </c>
      <c r="CF61" s="106">
        <v>62</v>
      </c>
      <c r="CG61" s="106">
        <v>0.2</v>
      </c>
      <c r="CH61" s="106">
        <v>0.2</v>
      </c>
      <c r="CI61" s="107"/>
      <c r="CJ61" s="4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 s="18"/>
      <c r="DA61"/>
    </row>
    <row r="62" spans="66:105">
      <c r="BN62" s="62" t="s">
        <v>202</v>
      </c>
      <c r="BO62" s="597"/>
      <c r="BP62" s="104" t="s">
        <v>376</v>
      </c>
      <c r="BQ62" s="104" t="s">
        <v>337</v>
      </c>
      <c r="BR62" s="104"/>
      <c r="BS62" s="104"/>
      <c r="BT62" s="104"/>
      <c r="BU62" s="104"/>
      <c r="BV62" s="104"/>
      <c r="BW62" s="104"/>
      <c r="BX62" s="104" t="s">
        <v>240</v>
      </c>
      <c r="BY62" s="104">
        <v>36.799999999999997</v>
      </c>
      <c r="BZ62" s="104">
        <v>43.8</v>
      </c>
      <c r="CA62" s="104" t="s">
        <v>207</v>
      </c>
      <c r="CB62" s="105">
        <v>71900</v>
      </c>
      <c r="CC62" s="106">
        <v>0</v>
      </c>
      <c r="CD62" s="106">
        <v>0</v>
      </c>
      <c r="CE62" s="106">
        <v>0</v>
      </c>
      <c r="CF62" s="106">
        <v>0</v>
      </c>
      <c r="CG62" s="106">
        <v>0</v>
      </c>
      <c r="CH62" s="106">
        <v>0</v>
      </c>
      <c r="CI62" s="107"/>
      <c r="CJ62" s="4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 s="18"/>
      <c r="DA62"/>
    </row>
    <row r="63" spans="66:105">
      <c r="BN63" s="62" t="s">
        <v>202</v>
      </c>
      <c r="BO63" s="597"/>
      <c r="BP63" s="104" t="s">
        <v>376</v>
      </c>
      <c r="BQ63" s="104" t="s">
        <v>360</v>
      </c>
      <c r="BR63" s="104"/>
      <c r="BS63" s="104"/>
      <c r="BT63" s="104"/>
      <c r="BU63" s="104"/>
      <c r="BV63" s="104"/>
      <c r="BW63" s="104"/>
      <c r="BX63" s="104" t="s">
        <v>240</v>
      </c>
      <c r="BY63" s="104">
        <v>39.799999999999997</v>
      </c>
      <c r="BZ63" s="104">
        <v>40.200000000000003</v>
      </c>
      <c r="CA63" s="104" t="s">
        <v>207</v>
      </c>
      <c r="CB63" s="105">
        <v>73300</v>
      </c>
      <c r="CC63" s="106">
        <v>0</v>
      </c>
      <c r="CD63" s="106">
        <v>0</v>
      </c>
      <c r="CE63" s="106">
        <v>0</v>
      </c>
      <c r="CF63" s="106">
        <v>0</v>
      </c>
      <c r="CG63" s="106">
        <v>0</v>
      </c>
      <c r="CH63" s="106">
        <v>0</v>
      </c>
      <c r="CI63" s="107"/>
      <c r="CJ63" s="4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 s="18"/>
      <c r="DA63"/>
    </row>
    <row r="64" spans="66:105">
      <c r="BN64" s="62" t="s">
        <v>202</v>
      </c>
      <c r="BO64" s="597"/>
      <c r="BP64" s="104" t="s">
        <v>244</v>
      </c>
      <c r="BQ64" s="104" t="s">
        <v>383</v>
      </c>
      <c r="BR64" s="104" t="s">
        <v>384</v>
      </c>
      <c r="BS64" s="104"/>
      <c r="BT64" s="104"/>
      <c r="BU64" s="104"/>
      <c r="BV64" s="104"/>
      <c r="BW64" s="104"/>
      <c r="BX64" s="104" t="s">
        <v>206</v>
      </c>
      <c r="BY64" s="104">
        <v>36.5</v>
      </c>
      <c r="BZ64" s="104">
        <v>44.1</v>
      </c>
      <c r="CA64" s="104" t="s">
        <v>207</v>
      </c>
      <c r="CB64" s="105">
        <v>71500</v>
      </c>
      <c r="CC64" s="106">
        <v>0</v>
      </c>
      <c r="CD64" s="106">
        <v>0</v>
      </c>
      <c r="CE64" s="106">
        <v>0</v>
      </c>
      <c r="CF64" s="106">
        <v>0</v>
      </c>
      <c r="CG64" s="106">
        <v>0</v>
      </c>
      <c r="CH64" s="106">
        <v>0</v>
      </c>
      <c r="CI64" s="107"/>
      <c r="CJ64" s="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 s="18"/>
      <c r="DA64"/>
    </row>
    <row r="65" spans="66:105">
      <c r="BN65" s="62" t="s">
        <v>385</v>
      </c>
      <c r="BO65" s="597"/>
      <c r="BP65" s="104" t="s">
        <v>386</v>
      </c>
      <c r="BQ65" s="104" t="s">
        <v>387</v>
      </c>
      <c r="BR65" s="104"/>
      <c r="BS65" s="104"/>
      <c r="BT65" s="104"/>
      <c r="BU65" s="104"/>
      <c r="BV65" s="104"/>
      <c r="BW65" s="104"/>
      <c r="BX65" s="104" t="s">
        <v>388</v>
      </c>
      <c r="BY65" s="104">
        <v>9.6</v>
      </c>
      <c r="BZ65" s="104">
        <v>9.6</v>
      </c>
      <c r="CA65" s="104" t="s">
        <v>389</v>
      </c>
      <c r="CB65" s="109">
        <v>0.45669999999999999</v>
      </c>
      <c r="CC65" s="110">
        <v>3.5999999999999998E-6</v>
      </c>
      <c r="CD65" s="110">
        <v>3.5999999999999998E-6</v>
      </c>
      <c r="CE65" s="110">
        <v>3.5999999999999998E-6</v>
      </c>
      <c r="CF65" s="111">
        <v>3.5999999999999998E-6</v>
      </c>
      <c r="CG65" s="110">
        <v>8.4999999999999999E-6</v>
      </c>
      <c r="CH65" s="110">
        <v>8.4999999999999999E-6</v>
      </c>
      <c r="CI65" s="107"/>
      <c r="CJ65" s="4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 s="18"/>
      <c r="DA65"/>
    </row>
    <row r="66" spans="66:105">
      <c r="BN66" s="62" t="s">
        <v>385</v>
      </c>
      <c r="BO66" s="597"/>
      <c r="BP66" s="104" t="s">
        <v>386</v>
      </c>
      <c r="BQ66" s="104" t="s">
        <v>390</v>
      </c>
      <c r="BR66" s="104"/>
      <c r="BS66" s="104"/>
      <c r="BT66" s="104"/>
      <c r="BU66" s="104"/>
      <c r="BV66" s="104"/>
      <c r="BW66" s="104"/>
      <c r="BX66" s="104"/>
      <c r="BY66" s="104"/>
      <c r="BZ66" s="104"/>
      <c r="CA66" s="91" t="s">
        <v>391</v>
      </c>
      <c r="CB66" s="112">
        <v>59510</v>
      </c>
      <c r="CC66" s="113">
        <v>1.8320000000000001</v>
      </c>
      <c r="CD66" s="113">
        <v>1.8320000000000001</v>
      </c>
      <c r="CE66" s="113">
        <v>1.8320000000000001</v>
      </c>
      <c r="CF66" s="113">
        <v>1.8320000000000001</v>
      </c>
      <c r="CG66" s="113">
        <v>0.44</v>
      </c>
      <c r="CH66" s="113">
        <v>0.44</v>
      </c>
      <c r="CI66" s="91"/>
      <c r="CJ66" s="4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 s="18"/>
      <c r="DA66"/>
    </row>
    <row r="67" spans="66:105" hidden="1">
      <c r="BN67" s="62" t="s">
        <v>202</v>
      </c>
      <c r="BO67" s="582" t="s">
        <v>392</v>
      </c>
      <c r="BP67" s="104"/>
      <c r="BQ67" s="104" t="s">
        <v>393</v>
      </c>
      <c r="BR67" s="106" t="s">
        <v>393</v>
      </c>
      <c r="BS67" s="104" t="s">
        <v>357</v>
      </c>
      <c r="BT67" s="106">
        <v>45</v>
      </c>
      <c r="BU67" s="106">
        <v>42.2</v>
      </c>
      <c r="BV67" s="106">
        <v>1.075</v>
      </c>
      <c r="BW67" s="104" t="s">
        <v>393</v>
      </c>
      <c r="BX67" s="104" t="s">
        <v>240</v>
      </c>
      <c r="BY67" s="104">
        <v>45</v>
      </c>
      <c r="BZ67" s="104">
        <v>42.2</v>
      </c>
      <c r="CA67" s="104" t="s">
        <v>394</v>
      </c>
      <c r="CB67" s="114">
        <v>0</v>
      </c>
      <c r="CC67" s="106">
        <v>3</v>
      </c>
      <c r="CD67" s="106">
        <v>3</v>
      </c>
      <c r="CE67" s="106">
        <v>10</v>
      </c>
      <c r="CF67" s="106">
        <v>10</v>
      </c>
      <c r="CG67" s="106">
        <v>0.6</v>
      </c>
      <c r="CH67" s="106">
        <v>0.6</v>
      </c>
      <c r="CI67" s="107">
        <v>73300</v>
      </c>
      <c r="CJ67" s="4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 s="18"/>
      <c r="DA67"/>
    </row>
    <row r="68" spans="66:105" hidden="1">
      <c r="BN68" s="62" t="s">
        <v>202</v>
      </c>
      <c r="BO68" s="582"/>
      <c r="BP68" s="104"/>
      <c r="BQ68" s="104" t="s">
        <v>377</v>
      </c>
      <c r="BR68" s="106" t="s">
        <v>377</v>
      </c>
      <c r="BS68" s="104" t="s">
        <v>395</v>
      </c>
      <c r="BT68" s="106">
        <v>32.700000000000003</v>
      </c>
      <c r="BU68" s="106">
        <v>30.4</v>
      </c>
      <c r="BV68" s="106">
        <v>0.78100000000000003</v>
      </c>
      <c r="BW68" s="104" t="s">
        <v>396</v>
      </c>
      <c r="BX68" s="104" t="s">
        <v>397</v>
      </c>
      <c r="BY68" s="104">
        <v>32.700000000000003</v>
      </c>
      <c r="BZ68" s="104">
        <v>30.4</v>
      </c>
      <c r="CA68" s="104" t="s">
        <v>394</v>
      </c>
      <c r="CB68" s="114">
        <v>71600</v>
      </c>
      <c r="CC68" s="106">
        <v>3</v>
      </c>
      <c r="CD68" s="106">
        <v>3</v>
      </c>
      <c r="CE68" s="106">
        <v>10</v>
      </c>
      <c r="CF68" s="106">
        <v>10</v>
      </c>
      <c r="CG68" s="106">
        <v>0.6</v>
      </c>
      <c r="CH68" s="106">
        <v>0.6</v>
      </c>
      <c r="CI68" s="107">
        <v>69300</v>
      </c>
      <c r="CJ68" s="4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 s="18"/>
      <c r="DA68"/>
    </row>
    <row r="69" spans="66:105" hidden="1">
      <c r="BN69" s="62" t="s">
        <v>202</v>
      </c>
      <c r="BO69" s="582"/>
      <c r="BP69" s="104"/>
      <c r="BQ69" s="104" t="s">
        <v>398</v>
      </c>
      <c r="BR69" s="106" t="s">
        <v>398</v>
      </c>
      <c r="BS69" s="104" t="s">
        <v>395</v>
      </c>
      <c r="BT69" s="106">
        <v>36.700000000000003</v>
      </c>
      <c r="BU69" s="106">
        <v>34.200000000000003</v>
      </c>
      <c r="BV69" s="106">
        <v>0.877</v>
      </c>
      <c r="BW69" s="104" t="s">
        <v>399</v>
      </c>
      <c r="BX69" s="104" t="s">
        <v>397</v>
      </c>
      <c r="BY69" s="104">
        <v>36.700000000000003</v>
      </c>
      <c r="BZ69" s="104">
        <v>34.200000000000003</v>
      </c>
      <c r="CA69" s="104" t="s">
        <v>394</v>
      </c>
      <c r="CB69" s="114">
        <v>73200</v>
      </c>
      <c r="CC69" s="106">
        <v>3</v>
      </c>
      <c r="CD69" s="106">
        <v>3</v>
      </c>
      <c r="CE69" s="106">
        <v>10</v>
      </c>
      <c r="CF69" s="106">
        <v>10</v>
      </c>
      <c r="CG69" s="106">
        <v>0.6</v>
      </c>
      <c r="CH69" s="106">
        <v>0.6</v>
      </c>
      <c r="CI69" s="107">
        <v>71900</v>
      </c>
      <c r="CJ69" s="4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 s="18"/>
      <c r="DA69"/>
    </row>
    <row r="70" spans="66:105" hidden="1">
      <c r="BN70" s="62" t="s">
        <v>202</v>
      </c>
      <c r="BO70" s="582"/>
      <c r="BP70" s="104"/>
      <c r="BQ70" s="104" t="s">
        <v>379</v>
      </c>
      <c r="BR70" s="106" t="s">
        <v>379</v>
      </c>
      <c r="BS70" s="104" t="s">
        <v>395</v>
      </c>
      <c r="BT70" s="106">
        <v>37.799999999999997</v>
      </c>
      <c r="BU70" s="106">
        <v>35.200000000000003</v>
      </c>
      <c r="BV70" s="106">
        <v>0.90300000000000002</v>
      </c>
      <c r="BW70" s="104" t="s">
        <v>400</v>
      </c>
      <c r="BX70" s="104" t="s">
        <v>397</v>
      </c>
      <c r="BY70" s="104">
        <v>37.799999999999997</v>
      </c>
      <c r="BZ70" s="104">
        <v>35.200000000000003</v>
      </c>
      <c r="CA70" s="104" t="s">
        <v>394</v>
      </c>
      <c r="CB70" s="114">
        <v>73200</v>
      </c>
      <c r="CC70" s="106">
        <v>3</v>
      </c>
      <c r="CD70" s="106">
        <v>3</v>
      </c>
      <c r="CE70" s="106">
        <v>10</v>
      </c>
      <c r="CF70" s="106">
        <v>10</v>
      </c>
      <c r="CG70" s="106">
        <v>0.6</v>
      </c>
      <c r="CH70" s="106">
        <v>0.6</v>
      </c>
      <c r="CI70" s="107">
        <v>74100</v>
      </c>
      <c r="CJ70" s="4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 s="18"/>
      <c r="DA70"/>
    </row>
    <row r="71" spans="66:105" hidden="1">
      <c r="BN71" s="62" t="s">
        <v>202</v>
      </c>
      <c r="BO71" s="582"/>
      <c r="BP71" s="104"/>
      <c r="BQ71" s="104" t="s">
        <v>205</v>
      </c>
      <c r="BR71" s="106" t="s">
        <v>205</v>
      </c>
      <c r="BS71" s="106" t="s">
        <v>395</v>
      </c>
      <c r="BT71" s="106">
        <v>39</v>
      </c>
      <c r="BU71" s="106">
        <v>36.4</v>
      </c>
      <c r="BV71" s="106">
        <v>0.93100000000000005</v>
      </c>
      <c r="BW71" s="104" t="s">
        <v>400</v>
      </c>
      <c r="BX71" s="104" t="s">
        <v>397</v>
      </c>
      <c r="BY71" s="104">
        <v>39</v>
      </c>
      <c r="BZ71" s="104">
        <v>36.4</v>
      </c>
      <c r="CA71" s="104" t="s">
        <v>394</v>
      </c>
      <c r="CB71" s="114">
        <v>75700</v>
      </c>
      <c r="CC71" s="106">
        <v>3</v>
      </c>
      <c r="CD71" s="106">
        <v>3</v>
      </c>
      <c r="CE71" s="106">
        <v>10</v>
      </c>
      <c r="CF71" s="106">
        <v>10</v>
      </c>
      <c r="CG71" s="106">
        <v>0.6</v>
      </c>
      <c r="CH71" s="106">
        <v>0.6</v>
      </c>
      <c r="CI71" s="107">
        <v>74100</v>
      </c>
      <c r="CJ71" s="4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 s="18"/>
      <c r="DA71"/>
    </row>
    <row r="72" spans="66:105" hidden="1">
      <c r="BN72" s="62" t="s">
        <v>202</v>
      </c>
      <c r="BO72" s="582"/>
      <c r="BP72" s="104"/>
      <c r="BQ72" s="104" t="s">
        <v>218</v>
      </c>
      <c r="BR72" s="106" t="s">
        <v>218</v>
      </c>
      <c r="BS72" s="106" t="s">
        <v>395</v>
      </c>
      <c r="BT72" s="106">
        <v>40.5</v>
      </c>
      <c r="BU72" s="106">
        <v>38</v>
      </c>
      <c r="BV72" s="106">
        <v>0.96699999999999997</v>
      </c>
      <c r="BW72" s="104" t="s">
        <v>401</v>
      </c>
      <c r="BX72" s="104" t="s">
        <v>397</v>
      </c>
      <c r="BY72" s="104">
        <v>40.5</v>
      </c>
      <c r="BZ72" s="104">
        <v>38</v>
      </c>
      <c r="CA72" s="104" t="s">
        <v>394</v>
      </c>
      <c r="CB72" s="114">
        <v>78400</v>
      </c>
      <c r="CC72" s="106">
        <v>3</v>
      </c>
      <c r="CD72" s="106">
        <v>3</v>
      </c>
      <c r="CE72" s="106">
        <v>10</v>
      </c>
      <c r="CF72" s="106">
        <v>10</v>
      </c>
      <c r="CG72" s="106">
        <v>0.6</v>
      </c>
      <c r="CH72" s="106">
        <v>0.6</v>
      </c>
      <c r="CI72" s="107">
        <v>77400</v>
      </c>
      <c r="CJ72" s="4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 s="18"/>
      <c r="DA72"/>
    </row>
    <row r="73" spans="66:105" hidden="1">
      <c r="BN73" s="62" t="s">
        <v>202</v>
      </c>
      <c r="BO73" s="582"/>
      <c r="BP73" s="104"/>
      <c r="BQ73" s="104" t="s">
        <v>227</v>
      </c>
      <c r="BR73" s="106" t="s">
        <v>227</v>
      </c>
      <c r="BS73" s="106" t="s">
        <v>395</v>
      </c>
      <c r="BT73" s="106">
        <v>41.7</v>
      </c>
      <c r="BU73" s="106">
        <v>39.200000000000003</v>
      </c>
      <c r="BV73" s="106">
        <v>0.996</v>
      </c>
      <c r="BW73" s="104" t="s">
        <v>401</v>
      </c>
      <c r="BX73" s="104" t="s">
        <v>397</v>
      </c>
      <c r="BY73" s="104">
        <v>41.7</v>
      </c>
      <c r="BZ73" s="104">
        <v>39.200000000000003</v>
      </c>
      <c r="CA73" s="104" t="s">
        <v>394</v>
      </c>
      <c r="CB73" s="114">
        <v>80300</v>
      </c>
      <c r="CC73" s="106">
        <v>3</v>
      </c>
      <c r="CD73" s="106">
        <v>3</v>
      </c>
      <c r="CE73" s="106">
        <v>10</v>
      </c>
      <c r="CF73" s="106">
        <v>10</v>
      </c>
      <c r="CG73" s="106">
        <v>0.6</v>
      </c>
      <c r="CH73" s="106">
        <v>0.6</v>
      </c>
      <c r="CI73" s="107">
        <v>77400</v>
      </c>
      <c r="CJ73" s="4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 s="18"/>
      <c r="DA73"/>
    </row>
    <row r="74" spans="66:105" hidden="1">
      <c r="BN74" s="62" t="s">
        <v>222</v>
      </c>
      <c r="BO74" s="582"/>
      <c r="BP74" s="104"/>
      <c r="BQ74" s="104" t="s">
        <v>372</v>
      </c>
      <c r="BR74" s="104" t="s">
        <v>372</v>
      </c>
      <c r="BS74" s="104" t="s">
        <v>357</v>
      </c>
      <c r="BT74" s="106">
        <v>50.4</v>
      </c>
      <c r="BU74" s="106">
        <v>46.3</v>
      </c>
      <c r="BV74" s="106">
        <v>1.204</v>
      </c>
      <c r="BW74" s="104"/>
      <c r="BX74" s="104" t="s">
        <v>240</v>
      </c>
      <c r="BY74" s="104">
        <v>50.4</v>
      </c>
      <c r="BZ74" s="104">
        <v>46.3</v>
      </c>
      <c r="CA74" s="104" t="s">
        <v>394</v>
      </c>
      <c r="CB74" s="114">
        <v>64600</v>
      </c>
      <c r="CC74" s="106">
        <v>1</v>
      </c>
      <c r="CD74" s="106">
        <v>1</v>
      </c>
      <c r="CE74" s="106">
        <v>5</v>
      </c>
      <c r="CF74" s="106">
        <v>5</v>
      </c>
      <c r="CG74" s="106">
        <v>0.1</v>
      </c>
      <c r="CH74" s="106">
        <v>0.1</v>
      </c>
      <c r="CI74" s="107">
        <v>63100</v>
      </c>
      <c r="CJ74" s="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 s="18"/>
      <c r="DA74"/>
    </row>
    <row r="75" spans="66:105" hidden="1">
      <c r="BN75" s="62" t="s">
        <v>222</v>
      </c>
      <c r="BO75" s="582"/>
      <c r="BP75" s="104"/>
      <c r="BQ75" s="104" t="s">
        <v>343</v>
      </c>
      <c r="BR75" s="104" t="s">
        <v>343</v>
      </c>
      <c r="BS75" s="104" t="s">
        <v>357</v>
      </c>
      <c r="BT75" s="106">
        <v>49.5</v>
      </c>
      <c r="BU75" s="106">
        <v>45.7</v>
      </c>
      <c r="BV75" s="106">
        <v>1.1819999999999999</v>
      </c>
      <c r="BW75" s="104"/>
      <c r="BX75" s="104" t="s">
        <v>240</v>
      </c>
      <c r="BY75" s="104">
        <v>49.5</v>
      </c>
      <c r="BZ75" s="104">
        <v>45.7</v>
      </c>
      <c r="CA75" s="104" t="s">
        <v>394</v>
      </c>
      <c r="CB75" s="114">
        <v>66300</v>
      </c>
      <c r="CC75" s="106">
        <v>1</v>
      </c>
      <c r="CD75" s="106">
        <v>1</v>
      </c>
      <c r="CE75" s="106">
        <v>5</v>
      </c>
      <c r="CF75" s="106">
        <v>5</v>
      </c>
      <c r="CG75" s="106">
        <v>0.1</v>
      </c>
      <c r="CH75" s="106">
        <v>0.1</v>
      </c>
      <c r="CI75" s="107">
        <v>63100</v>
      </c>
      <c r="CJ75" s="4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 s="18"/>
      <c r="DA75"/>
    </row>
    <row r="76" spans="66:105" hidden="1">
      <c r="BN76" s="62" t="s">
        <v>202</v>
      </c>
      <c r="BO76" s="582"/>
      <c r="BP76" s="104"/>
      <c r="BQ76" s="104" t="s">
        <v>402</v>
      </c>
      <c r="BR76" s="104" t="s">
        <v>402</v>
      </c>
      <c r="BS76" s="104" t="s">
        <v>395</v>
      </c>
      <c r="BT76" s="106">
        <v>32.299999999999997</v>
      </c>
      <c r="BU76" s="106">
        <v>29.9</v>
      </c>
      <c r="BV76" s="106">
        <v>0.77100000000000002</v>
      </c>
      <c r="BW76" s="104" t="s">
        <v>402</v>
      </c>
      <c r="BX76" s="104" t="s">
        <v>397</v>
      </c>
      <c r="BY76" s="104">
        <v>32.299999999999997</v>
      </c>
      <c r="BZ76" s="104">
        <v>29.9</v>
      </c>
      <c r="CA76" s="104" t="s">
        <v>394</v>
      </c>
      <c r="CB76" s="114">
        <v>70200</v>
      </c>
      <c r="CC76" s="106">
        <v>3</v>
      </c>
      <c r="CD76" s="106">
        <v>3</v>
      </c>
      <c r="CE76" s="106">
        <v>10</v>
      </c>
      <c r="CF76" s="106">
        <v>10</v>
      </c>
      <c r="CG76" s="106">
        <v>0.6</v>
      </c>
      <c r="CH76" s="106">
        <v>0.6</v>
      </c>
      <c r="CI76" s="107">
        <v>73300</v>
      </c>
      <c r="CJ76" s="4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 s="18"/>
      <c r="DA76"/>
    </row>
    <row r="77" spans="66:105" hidden="1">
      <c r="BN77" s="62" t="s">
        <v>202</v>
      </c>
      <c r="BO77" s="582"/>
      <c r="BP77" s="104"/>
      <c r="BQ77" s="104" t="s">
        <v>334</v>
      </c>
      <c r="BR77" s="104" t="s">
        <v>334</v>
      </c>
      <c r="BS77" s="104" t="s">
        <v>395</v>
      </c>
      <c r="BT77" s="106">
        <v>32.799999999999997</v>
      </c>
      <c r="BU77" s="106">
        <v>30.3</v>
      </c>
      <c r="BV77" s="106">
        <v>0.78300000000000003</v>
      </c>
      <c r="BW77" s="104" t="s">
        <v>403</v>
      </c>
      <c r="BX77" s="104" t="s">
        <v>397</v>
      </c>
      <c r="BY77" s="104">
        <v>32.799999999999997</v>
      </c>
      <c r="BZ77" s="104">
        <v>30.3</v>
      </c>
      <c r="CA77" s="104" t="s">
        <v>394</v>
      </c>
      <c r="CB77" s="114">
        <v>70200</v>
      </c>
      <c r="CC77" s="106">
        <v>3</v>
      </c>
      <c r="CD77" s="106">
        <v>3</v>
      </c>
      <c r="CE77" s="106">
        <v>10</v>
      </c>
      <c r="CF77" s="106">
        <v>10</v>
      </c>
      <c r="CG77" s="106">
        <v>0.6</v>
      </c>
      <c r="CH77" s="106">
        <v>0.6</v>
      </c>
      <c r="CI77" s="107">
        <v>73300</v>
      </c>
      <c r="CJ77" s="4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 s="18"/>
      <c r="DA77"/>
    </row>
    <row r="78" spans="66:105" hidden="1">
      <c r="BN78" s="62" t="s">
        <v>202</v>
      </c>
      <c r="BO78" s="582"/>
      <c r="BP78" s="104"/>
      <c r="BQ78" s="104" t="s">
        <v>404</v>
      </c>
      <c r="BR78" s="104" t="s">
        <v>404</v>
      </c>
      <c r="BS78" s="104" t="s">
        <v>395</v>
      </c>
      <c r="BT78" s="106">
        <v>36.5</v>
      </c>
      <c r="BU78" s="106">
        <v>33.9</v>
      </c>
      <c r="BV78" s="106">
        <v>0.872</v>
      </c>
      <c r="BW78" s="104" t="s">
        <v>405</v>
      </c>
      <c r="BX78" s="104" t="s">
        <v>397</v>
      </c>
      <c r="BY78" s="104">
        <v>36.5</v>
      </c>
      <c r="BZ78" s="104">
        <v>33.9</v>
      </c>
      <c r="CA78" s="104" t="s">
        <v>394</v>
      </c>
      <c r="CB78" s="114">
        <v>73000</v>
      </c>
      <c r="CC78" s="106">
        <v>3</v>
      </c>
      <c r="CD78" s="106">
        <v>3</v>
      </c>
      <c r="CE78" s="106">
        <v>10</v>
      </c>
      <c r="CF78" s="106">
        <v>10</v>
      </c>
      <c r="CG78" s="106">
        <v>0.6</v>
      </c>
      <c r="CH78" s="106">
        <v>0.6</v>
      </c>
      <c r="CI78" s="107">
        <v>70000</v>
      </c>
      <c r="CJ78" s="4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 s="18"/>
      <c r="DA78"/>
    </row>
    <row r="79" spans="66:105" hidden="1">
      <c r="BN79" s="62" t="s">
        <v>211</v>
      </c>
      <c r="BO79" s="582"/>
      <c r="BP79" s="104"/>
      <c r="BQ79" s="104" t="s">
        <v>406</v>
      </c>
      <c r="BR79" s="104" t="s">
        <v>406</v>
      </c>
      <c r="BS79" s="104" t="s">
        <v>357</v>
      </c>
      <c r="BT79" s="106">
        <v>41.4</v>
      </c>
      <c r="BU79" s="106">
        <v>39.200000000000003</v>
      </c>
      <c r="BV79" s="106">
        <v>0.98899999999999999</v>
      </c>
      <c r="BW79" s="104" t="s">
        <v>406</v>
      </c>
      <c r="BX79" s="104" t="s">
        <v>240</v>
      </c>
      <c r="BY79" s="104">
        <v>41.4</v>
      </c>
      <c r="BZ79" s="104">
        <v>39.200000000000003</v>
      </c>
      <c r="CA79" s="104" t="s">
        <v>394</v>
      </c>
      <c r="CB79" s="114">
        <v>78900</v>
      </c>
      <c r="CC79" s="106">
        <v>3</v>
      </c>
      <c r="CD79" s="106">
        <v>3</v>
      </c>
      <c r="CE79" s="106">
        <v>10</v>
      </c>
      <c r="CF79" s="106">
        <v>10</v>
      </c>
      <c r="CG79" s="106">
        <v>0.6</v>
      </c>
      <c r="CH79" s="106">
        <v>0.6</v>
      </c>
      <c r="CI79" s="107">
        <v>80700</v>
      </c>
      <c r="CJ79" s="4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 s="18"/>
      <c r="DA79"/>
    </row>
    <row r="80" spans="66:105" hidden="1">
      <c r="BN80" s="62" t="s">
        <v>202</v>
      </c>
      <c r="BO80" s="582"/>
      <c r="BP80" s="104"/>
      <c r="BQ80" s="104" t="s">
        <v>359</v>
      </c>
      <c r="BR80" s="104" t="s">
        <v>359</v>
      </c>
      <c r="BS80" s="104" t="s">
        <v>395</v>
      </c>
      <c r="BT80" s="106">
        <v>40</v>
      </c>
      <c r="BU80" s="106">
        <v>37.299999999999997</v>
      </c>
      <c r="BV80" s="106">
        <v>0.95499999999999996</v>
      </c>
      <c r="BW80" s="104" t="s">
        <v>359</v>
      </c>
      <c r="BX80" s="104" t="s">
        <v>397</v>
      </c>
      <c r="BY80" s="104">
        <v>40</v>
      </c>
      <c r="BZ80" s="104">
        <v>37.299999999999997</v>
      </c>
      <c r="CA80" s="104" t="s">
        <v>394</v>
      </c>
      <c r="CB80" s="114">
        <v>73200</v>
      </c>
      <c r="CC80" s="106">
        <v>3</v>
      </c>
      <c r="CD80" s="106">
        <v>3</v>
      </c>
      <c r="CE80" s="106">
        <v>10</v>
      </c>
      <c r="CF80" s="106">
        <v>10</v>
      </c>
      <c r="CG80" s="106">
        <v>0.6</v>
      </c>
      <c r="CH80" s="106">
        <v>0.6</v>
      </c>
      <c r="CI80" s="107">
        <v>73300</v>
      </c>
      <c r="CJ80" s="4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 s="18"/>
      <c r="DA80"/>
    </row>
    <row r="81" spans="66:105" hidden="1">
      <c r="BN81" s="62" t="s">
        <v>211</v>
      </c>
      <c r="BO81" s="582"/>
      <c r="BP81" s="104"/>
      <c r="BQ81" s="104" t="s">
        <v>407</v>
      </c>
      <c r="BR81" s="104" t="s">
        <v>408</v>
      </c>
      <c r="BS81" s="104" t="s">
        <v>357</v>
      </c>
      <c r="BT81" s="106">
        <v>35</v>
      </c>
      <c r="BU81" s="106">
        <v>34.200000000000003</v>
      </c>
      <c r="BV81" s="106">
        <v>0.83599999999999997</v>
      </c>
      <c r="BW81" s="104" t="s">
        <v>409</v>
      </c>
      <c r="BX81" s="104" t="s">
        <v>240</v>
      </c>
      <c r="BY81" s="104">
        <v>35</v>
      </c>
      <c r="BZ81" s="104">
        <v>34.200000000000003</v>
      </c>
      <c r="CA81" s="104" t="s">
        <v>394</v>
      </c>
      <c r="CB81" s="114">
        <v>0</v>
      </c>
      <c r="CC81" s="106">
        <v>3</v>
      </c>
      <c r="CD81" s="106">
        <v>3</v>
      </c>
      <c r="CE81" s="106">
        <v>10</v>
      </c>
      <c r="CF81" s="106">
        <v>10</v>
      </c>
      <c r="CG81" s="106">
        <v>0.6</v>
      </c>
      <c r="CH81" s="106">
        <v>0.6</v>
      </c>
      <c r="CI81" s="107">
        <v>97500</v>
      </c>
      <c r="CJ81" s="4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 s="18"/>
      <c r="DA81"/>
    </row>
    <row r="82" spans="66:105" hidden="1">
      <c r="BN82" s="62" t="s">
        <v>202</v>
      </c>
      <c r="BO82" s="582"/>
      <c r="BP82" s="104"/>
      <c r="BQ82" s="104" t="s">
        <v>410</v>
      </c>
      <c r="BR82" s="104" t="s">
        <v>411</v>
      </c>
      <c r="BS82" s="104" t="s">
        <v>395</v>
      </c>
      <c r="BT82" s="106">
        <v>37.1</v>
      </c>
      <c r="BU82" s="106">
        <v>34.6</v>
      </c>
      <c r="BV82" s="106">
        <v>0.88600000000000001</v>
      </c>
      <c r="BW82" s="104"/>
      <c r="BX82" s="104" t="s">
        <v>397</v>
      </c>
      <c r="BY82" s="104">
        <v>37.1</v>
      </c>
      <c r="BZ82" s="104">
        <v>34.6</v>
      </c>
      <c r="CA82" s="104" t="s">
        <v>394</v>
      </c>
      <c r="CB82" s="114">
        <v>73500</v>
      </c>
      <c r="CC82" s="106">
        <v>3</v>
      </c>
      <c r="CD82" s="106">
        <v>3</v>
      </c>
      <c r="CE82" s="106">
        <v>10</v>
      </c>
      <c r="CF82" s="106">
        <v>10</v>
      </c>
      <c r="CG82" s="106">
        <v>0.6</v>
      </c>
      <c r="CH82" s="106">
        <v>0.6</v>
      </c>
      <c r="CI82" s="107">
        <v>71900</v>
      </c>
      <c r="CJ82" s="4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 s="18"/>
      <c r="DA82"/>
    </row>
    <row r="83" spans="66:105" hidden="1">
      <c r="BN83" s="62" t="s">
        <v>202</v>
      </c>
      <c r="BO83" s="582"/>
      <c r="BP83" s="104"/>
      <c r="BQ83" s="104" t="s">
        <v>412</v>
      </c>
      <c r="BR83" s="104" t="s">
        <v>413</v>
      </c>
      <c r="BS83" s="104" t="s">
        <v>395</v>
      </c>
      <c r="BT83" s="106">
        <v>39.9</v>
      </c>
      <c r="BU83" s="106">
        <v>37.700000000000003</v>
      </c>
      <c r="BV83" s="106">
        <v>0.95299999999999996</v>
      </c>
      <c r="BW83" s="104"/>
      <c r="BX83" s="104" t="s">
        <v>397</v>
      </c>
      <c r="BY83" s="104">
        <v>39.9</v>
      </c>
      <c r="BZ83" s="104">
        <v>37.700000000000003</v>
      </c>
      <c r="CA83" s="104" t="s">
        <v>394</v>
      </c>
      <c r="CB83" s="114">
        <v>79600</v>
      </c>
      <c r="CC83" s="106">
        <v>3</v>
      </c>
      <c r="CD83" s="106">
        <v>3</v>
      </c>
      <c r="CE83" s="106">
        <v>10</v>
      </c>
      <c r="CF83" s="106">
        <v>10</v>
      </c>
      <c r="CG83" s="106">
        <v>0.6</v>
      </c>
      <c r="CH83" s="106">
        <v>0.6</v>
      </c>
      <c r="CI83" s="107">
        <v>77400</v>
      </c>
      <c r="CJ83" s="4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 s="18"/>
      <c r="DA83"/>
    </row>
    <row r="84" spans="66:105" hidden="1">
      <c r="BN84" s="62" t="s">
        <v>222</v>
      </c>
      <c r="BO84" s="582"/>
      <c r="BP84" s="104"/>
      <c r="BQ84" s="104" t="s">
        <v>304</v>
      </c>
      <c r="BR84" s="104" t="s">
        <v>304</v>
      </c>
      <c r="BS84" s="104" t="s">
        <v>357</v>
      </c>
      <c r="BT84" s="106">
        <v>54.7</v>
      </c>
      <c r="BU84" s="106">
        <v>49.4</v>
      </c>
      <c r="BV84" s="106">
        <v>1.306</v>
      </c>
      <c r="BW84" s="104" t="s">
        <v>364</v>
      </c>
      <c r="BX84" s="104" t="s">
        <v>240</v>
      </c>
      <c r="BY84" s="104">
        <v>54.7</v>
      </c>
      <c r="BZ84" s="104">
        <v>49.4</v>
      </c>
      <c r="CA84" s="104" t="s">
        <v>394</v>
      </c>
      <c r="CB84" s="114">
        <v>56100</v>
      </c>
      <c r="CC84" s="106">
        <v>1</v>
      </c>
      <c r="CD84" s="106">
        <v>1</v>
      </c>
      <c r="CE84" s="106">
        <v>5</v>
      </c>
      <c r="CF84" s="106">
        <v>5</v>
      </c>
      <c r="CG84" s="106">
        <v>0.1</v>
      </c>
      <c r="CH84" s="106">
        <v>0.1</v>
      </c>
      <c r="CI84" s="107">
        <v>56100</v>
      </c>
      <c r="CJ84" s="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 s="18"/>
      <c r="DA84"/>
    </row>
    <row r="85" spans="66:105" hidden="1">
      <c r="BN85" s="62" t="s">
        <v>222</v>
      </c>
      <c r="BO85" s="582"/>
      <c r="BP85" s="104"/>
      <c r="BQ85" s="104" t="s">
        <v>237</v>
      </c>
      <c r="BR85" s="104" t="s">
        <v>237</v>
      </c>
      <c r="BS85" s="104" t="s">
        <v>414</v>
      </c>
      <c r="BT85" s="106">
        <v>43.1</v>
      </c>
      <c r="BU85" s="106">
        <v>38.9</v>
      </c>
      <c r="BV85" s="106">
        <v>1.0289999999999999</v>
      </c>
      <c r="BW85" s="104" t="s">
        <v>364</v>
      </c>
      <c r="BX85" s="104" t="s">
        <v>415</v>
      </c>
      <c r="BY85" s="104">
        <v>43.1</v>
      </c>
      <c r="BZ85" s="104">
        <v>38.9</v>
      </c>
      <c r="CA85" s="104" t="s">
        <v>394</v>
      </c>
      <c r="CB85" s="114">
        <v>56100</v>
      </c>
      <c r="CC85" s="106">
        <v>1</v>
      </c>
      <c r="CD85" s="106">
        <v>1</v>
      </c>
      <c r="CE85" s="106">
        <v>5</v>
      </c>
      <c r="CF85" s="106">
        <v>5</v>
      </c>
      <c r="CG85" s="106">
        <v>0.1</v>
      </c>
      <c r="CH85" s="106">
        <v>0.1</v>
      </c>
      <c r="CI85" s="107">
        <v>56100</v>
      </c>
      <c r="CJ85" s="4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 s="18"/>
      <c r="DA85"/>
    </row>
    <row r="86" spans="66:105" hidden="1">
      <c r="BN86" s="62" t="s">
        <v>222</v>
      </c>
      <c r="BO86" s="582"/>
      <c r="BP86" s="104"/>
      <c r="BQ86" s="104" t="s">
        <v>310</v>
      </c>
      <c r="BR86" s="104" t="s">
        <v>310</v>
      </c>
      <c r="BS86" s="104" t="s">
        <v>414</v>
      </c>
      <c r="BT86" s="106">
        <v>63.6</v>
      </c>
      <c r="BU86" s="106">
        <v>58.4</v>
      </c>
      <c r="BV86" s="106">
        <v>1.5189999999999999</v>
      </c>
      <c r="BW86" s="104" t="s">
        <v>311</v>
      </c>
      <c r="BX86" s="104" t="s">
        <v>415</v>
      </c>
      <c r="BY86" s="104">
        <v>63.6</v>
      </c>
      <c r="BZ86" s="104">
        <v>58.4</v>
      </c>
      <c r="CA86" s="104" t="s">
        <v>394</v>
      </c>
      <c r="CB86" s="114">
        <v>64000</v>
      </c>
      <c r="CC86" s="106">
        <v>1</v>
      </c>
      <c r="CD86" s="106">
        <v>1</v>
      </c>
      <c r="CE86" s="106">
        <v>5</v>
      </c>
      <c r="CF86" s="106">
        <v>5</v>
      </c>
      <c r="CG86" s="106">
        <v>0.1</v>
      </c>
      <c r="CH86" s="106">
        <v>0.1</v>
      </c>
      <c r="CI86" s="107">
        <v>63100</v>
      </c>
      <c r="CJ86" s="4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 s="18"/>
      <c r="DA86"/>
    </row>
    <row r="87" spans="66:105" hidden="1">
      <c r="BN87" s="62" t="s">
        <v>211</v>
      </c>
      <c r="BO87" s="582"/>
      <c r="BP87" s="104"/>
      <c r="BQ87" s="104" t="s">
        <v>264</v>
      </c>
      <c r="BR87" s="104" t="s">
        <v>264</v>
      </c>
      <c r="BS87" s="104" t="s">
        <v>357</v>
      </c>
      <c r="BT87" s="106">
        <v>19.8</v>
      </c>
      <c r="BU87" s="106">
        <v>19.399999999999999</v>
      </c>
      <c r="BV87" s="106">
        <v>0.47299999999999998</v>
      </c>
      <c r="BW87" s="104" t="s">
        <v>416</v>
      </c>
      <c r="BX87" s="104" t="s">
        <v>240</v>
      </c>
      <c r="BY87" s="104">
        <v>19.8</v>
      </c>
      <c r="BZ87" s="104">
        <v>19.399999999999999</v>
      </c>
      <c r="CA87" s="104" t="s">
        <v>394</v>
      </c>
      <c r="CB87" s="114">
        <v>110600</v>
      </c>
      <c r="CC87" s="106">
        <v>1</v>
      </c>
      <c r="CD87" s="106">
        <v>10</v>
      </c>
      <c r="CE87" s="106">
        <v>10</v>
      </c>
      <c r="CF87" s="106">
        <v>300</v>
      </c>
      <c r="CG87" s="106">
        <v>1.5</v>
      </c>
      <c r="CH87" s="106">
        <v>1.5</v>
      </c>
      <c r="CI87" s="107">
        <v>98300</v>
      </c>
      <c r="CJ87" s="4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 s="18"/>
      <c r="DA87"/>
    </row>
    <row r="88" spans="66:105" hidden="1">
      <c r="BN88" s="62" t="s">
        <v>211</v>
      </c>
      <c r="BO88" s="582"/>
      <c r="BP88" s="104"/>
      <c r="BQ88" s="104" t="s">
        <v>417</v>
      </c>
      <c r="BR88" s="104" t="s">
        <v>417</v>
      </c>
      <c r="BS88" s="104" t="s">
        <v>357</v>
      </c>
      <c r="BT88" s="106">
        <v>21.2</v>
      </c>
      <c r="BU88" s="106">
        <v>20.5</v>
      </c>
      <c r="BV88" s="106">
        <v>0.50600000000000001</v>
      </c>
      <c r="BW88" s="104" t="s">
        <v>416</v>
      </c>
      <c r="BX88" s="104" t="s">
        <v>240</v>
      </c>
      <c r="BY88" s="104">
        <v>21.2</v>
      </c>
      <c r="BZ88" s="104">
        <v>20.5</v>
      </c>
      <c r="CA88" s="104" t="s">
        <v>394</v>
      </c>
      <c r="CB88" s="114">
        <v>100400</v>
      </c>
      <c r="CC88" s="106">
        <v>1</v>
      </c>
      <c r="CD88" s="106">
        <v>10</v>
      </c>
      <c r="CE88" s="106">
        <v>10</v>
      </c>
      <c r="CF88" s="106">
        <v>300</v>
      </c>
      <c r="CG88" s="106">
        <v>1.5</v>
      </c>
      <c r="CH88" s="106">
        <v>1.5</v>
      </c>
      <c r="CI88" s="107">
        <v>98300</v>
      </c>
      <c r="CJ88" s="4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 s="18"/>
      <c r="DA88"/>
    </row>
    <row r="89" spans="66:105" hidden="1">
      <c r="BN89" s="62"/>
      <c r="BO89" s="582"/>
      <c r="BP89" s="104"/>
      <c r="BQ89" s="104" t="s">
        <v>418</v>
      </c>
      <c r="BR89" s="104" t="s">
        <v>418</v>
      </c>
      <c r="BS89" s="104" t="s">
        <v>357</v>
      </c>
      <c r="BT89" s="106">
        <v>25.2</v>
      </c>
      <c r="BU89" s="106">
        <v>24.7</v>
      </c>
      <c r="BV89" s="106">
        <v>0.60199999999999998</v>
      </c>
      <c r="BW89" s="104"/>
      <c r="BX89" s="104"/>
      <c r="BY89" s="104">
        <v>25.2</v>
      </c>
      <c r="BZ89" s="104">
        <v>24.7</v>
      </c>
      <c r="CA89" s="104" t="s">
        <v>394</v>
      </c>
      <c r="CB89" s="114">
        <v>109600</v>
      </c>
      <c r="CC89" s="106"/>
      <c r="CD89" s="106"/>
      <c r="CE89" s="106"/>
      <c r="CF89" s="106"/>
      <c r="CG89" s="106"/>
      <c r="CH89" s="106"/>
      <c r="CI89" s="107"/>
      <c r="CJ89" s="4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 s="18"/>
      <c r="DA89"/>
    </row>
    <row r="90" spans="66:105" hidden="1">
      <c r="BN90" s="62" t="s">
        <v>211</v>
      </c>
      <c r="BO90" s="582"/>
      <c r="BP90" s="104"/>
      <c r="BQ90" s="104" t="s">
        <v>355</v>
      </c>
      <c r="BR90" s="104" t="s">
        <v>419</v>
      </c>
      <c r="BS90" s="104" t="s">
        <v>357</v>
      </c>
      <c r="BT90" s="106">
        <v>24.8</v>
      </c>
      <c r="BU90" s="106">
        <v>23.7</v>
      </c>
      <c r="BV90" s="106">
        <v>0.59199999999999997</v>
      </c>
      <c r="BW90" s="104" t="s">
        <v>420</v>
      </c>
      <c r="BX90" s="104" t="s">
        <v>240</v>
      </c>
      <c r="BY90" s="104">
        <v>24.8</v>
      </c>
      <c r="BZ90" s="104">
        <v>23.7</v>
      </c>
      <c r="CA90" s="104" t="s">
        <v>394</v>
      </c>
      <c r="CB90" s="114">
        <v>95100</v>
      </c>
      <c r="CC90" s="106">
        <v>1</v>
      </c>
      <c r="CD90" s="106">
        <v>10</v>
      </c>
      <c r="CE90" s="106">
        <v>10</v>
      </c>
      <c r="CF90" s="106">
        <v>300</v>
      </c>
      <c r="CG90" s="106">
        <v>1.5</v>
      </c>
      <c r="CH90" s="106">
        <v>1.5</v>
      </c>
      <c r="CI90" s="107">
        <v>94600</v>
      </c>
      <c r="CJ90" s="4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 s="18"/>
      <c r="DA90"/>
    </row>
    <row r="91" spans="66:105" hidden="1">
      <c r="BN91" s="62" t="s">
        <v>211</v>
      </c>
      <c r="BO91" s="582"/>
      <c r="BP91" s="104"/>
      <c r="BQ91" s="104" t="s">
        <v>421</v>
      </c>
      <c r="BR91" s="104" t="s">
        <v>422</v>
      </c>
      <c r="BS91" s="104" t="s">
        <v>357</v>
      </c>
      <c r="BT91" s="106">
        <v>29.2</v>
      </c>
      <c r="BU91" s="106">
        <v>28</v>
      </c>
      <c r="BV91" s="106">
        <v>0.69699999999999995</v>
      </c>
      <c r="BW91" s="104" t="s">
        <v>423</v>
      </c>
      <c r="BX91" s="104" t="s">
        <v>240</v>
      </c>
      <c r="BY91" s="104">
        <v>29.2</v>
      </c>
      <c r="BZ91" s="104">
        <v>28</v>
      </c>
      <c r="CA91" s="104" t="s">
        <v>394</v>
      </c>
      <c r="CB91" s="114">
        <v>95100</v>
      </c>
      <c r="CC91" s="106">
        <v>1</v>
      </c>
      <c r="CD91" s="106">
        <v>10</v>
      </c>
      <c r="CE91" s="106">
        <v>10</v>
      </c>
      <c r="CF91" s="106">
        <v>300</v>
      </c>
      <c r="CG91" s="106">
        <v>1.5</v>
      </c>
      <c r="CH91" s="106">
        <v>1.5</v>
      </c>
      <c r="CI91" s="107">
        <v>94600</v>
      </c>
      <c r="CJ91" s="4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 s="18"/>
      <c r="DA91"/>
    </row>
    <row r="92" spans="66:105" hidden="1">
      <c r="BN92" s="62" t="s">
        <v>211</v>
      </c>
      <c r="BO92" s="582"/>
      <c r="BP92" s="104"/>
      <c r="BQ92" s="104" t="s">
        <v>424</v>
      </c>
      <c r="BR92" s="104" t="s">
        <v>425</v>
      </c>
      <c r="BS92" s="104" t="s">
        <v>357</v>
      </c>
      <c r="BT92" s="106">
        <v>21.4</v>
      </c>
      <c r="BU92" s="106">
        <v>19.899999999999999</v>
      </c>
      <c r="BV92" s="106">
        <v>0.51100000000000001</v>
      </c>
      <c r="BW92" s="104" t="s">
        <v>426</v>
      </c>
      <c r="BX92" s="104" t="s">
        <v>240</v>
      </c>
      <c r="BY92" s="104">
        <v>21.4</v>
      </c>
      <c r="BZ92" s="104">
        <v>19.899999999999999</v>
      </c>
      <c r="CA92" s="104" t="s">
        <v>394</v>
      </c>
      <c r="CB92" s="114">
        <v>97000</v>
      </c>
      <c r="CC92" s="106">
        <v>1</v>
      </c>
      <c r="CD92" s="106">
        <v>10</v>
      </c>
      <c r="CE92" s="106">
        <v>10</v>
      </c>
      <c r="CF92" s="106">
        <v>300</v>
      </c>
      <c r="CG92" s="106">
        <v>1.5</v>
      </c>
      <c r="CH92" s="106">
        <v>1.5</v>
      </c>
      <c r="CI92" s="107">
        <v>96100</v>
      </c>
      <c r="CJ92" s="4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 s="18"/>
      <c r="DA92"/>
    </row>
    <row r="93" spans="66:105" hidden="1">
      <c r="BN93" s="62" t="s">
        <v>211</v>
      </c>
      <c r="BO93" s="582"/>
      <c r="BP93" s="104"/>
      <c r="BQ93" s="104" t="s">
        <v>365</v>
      </c>
      <c r="BR93" s="104" t="s">
        <v>365</v>
      </c>
      <c r="BS93" s="104" t="s">
        <v>357</v>
      </c>
      <c r="BT93" s="106">
        <v>29</v>
      </c>
      <c r="BU93" s="106">
        <v>28.9</v>
      </c>
      <c r="BV93" s="106">
        <v>0.69299999999999995</v>
      </c>
      <c r="BW93" s="104" t="s">
        <v>427</v>
      </c>
      <c r="BX93" s="104" t="s">
        <v>240</v>
      </c>
      <c r="BY93" s="104">
        <v>29</v>
      </c>
      <c r="BZ93" s="104">
        <v>28.9</v>
      </c>
      <c r="CA93" s="104" t="s">
        <v>394</v>
      </c>
      <c r="CB93" s="114">
        <v>0</v>
      </c>
      <c r="CC93" s="106">
        <v>1</v>
      </c>
      <c r="CD93" s="106">
        <v>10</v>
      </c>
      <c r="CE93" s="106">
        <v>10</v>
      </c>
      <c r="CF93" s="106">
        <v>300</v>
      </c>
      <c r="CG93" s="106">
        <v>1.5</v>
      </c>
      <c r="CH93" s="106">
        <v>1.5</v>
      </c>
      <c r="CI93" s="107">
        <v>107000</v>
      </c>
      <c r="CJ93" s="4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 s="18"/>
      <c r="DA93"/>
    </row>
    <row r="94" spans="66:105" hidden="1">
      <c r="BN94" s="62"/>
      <c r="BO94" s="582"/>
      <c r="BP94" s="104"/>
      <c r="BQ94" s="104" t="s">
        <v>428</v>
      </c>
      <c r="BR94" s="104" t="s">
        <v>428</v>
      </c>
      <c r="BS94" s="104" t="s">
        <v>429</v>
      </c>
      <c r="BT94" s="106">
        <v>8.9</v>
      </c>
      <c r="BU94" s="106">
        <v>8.9</v>
      </c>
      <c r="BV94" s="106">
        <v>0.21299999999999999</v>
      </c>
      <c r="BW94" s="104"/>
      <c r="BX94" s="104" t="s">
        <v>388</v>
      </c>
      <c r="BY94" s="104">
        <v>8.9</v>
      </c>
      <c r="BZ94" s="104">
        <v>8.9</v>
      </c>
      <c r="CA94" s="104" t="s">
        <v>394</v>
      </c>
      <c r="CB94" s="106"/>
      <c r="CC94" s="106"/>
      <c r="CD94" s="106"/>
      <c r="CE94" s="106"/>
      <c r="CF94" s="106"/>
      <c r="CG94" s="106"/>
      <c r="CH94" s="106"/>
      <c r="CI94" s="107"/>
      <c r="CJ94" s="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 s="18"/>
      <c r="DA94"/>
    </row>
    <row r="95" spans="66:105" hidden="1">
      <c r="BN95" s="62"/>
      <c r="BO95" s="582"/>
      <c r="BP95" s="104"/>
      <c r="BQ95" s="104" t="s">
        <v>430</v>
      </c>
      <c r="BR95" s="104" t="s">
        <v>430</v>
      </c>
      <c r="BS95" s="104" t="s">
        <v>429</v>
      </c>
      <c r="BT95" s="106">
        <v>9.6</v>
      </c>
      <c r="BU95" s="106">
        <v>9.6</v>
      </c>
      <c r="BV95" s="106">
        <v>0.22900000000000001</v>
      </c>
      <c r="BW95" s="104"/>
      <c r="BX95" s="104" t="s">
        <v>388</v>
      </c>
      <c r="BY95" s="104">
        <v>9.6</v>
      </c>
      <c r="BZ95" s="104">
        <v>9.6</v>
      </c>
      <c r="CA95" s="104" t="s">
        <v>394</v>
      </c>
      <c r="CB95" s="106"/>
      <c r="CC95" s="106"/>
      <c r="CD95" s="106"/>
      <c r="CE95" s="106"/>
      <c r="CF95" s="106"/>
      <c r="CG95" s="106"/>
      <c r="CH95" s="106"/>
      <c r="CI95" s="107"/>
      <c r="CJ95" s="4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 s="18"/>
      <c r="DA95"/>
    </row>
    <row r="96" spans="66:105" hidden="1">
      <c r="BN96" s="16"/>
      <c r="BO96"/>
      <c r="BP96"/>
      <c r="BQ96" s="20" t="s">
        <v>431</v>
      </c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 s="18"/>
      <c r="DA96"/>
    </row>
    <row r="97" spans="66:105" hidden="1">
      <c r="BN97" s="16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 s="18"/>
      <c r="DA97"/>
    </row>
    <row r="98" spans="66:105" hidden="1">
      <c r="BN98" s="16"/>
      <c r="BO98"/>
      <c r="BP98"/>
      <c r="BQ98"/>
      <c r="BR98" s="20" t="s">
        <v>432</v>
      </c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 s="18"/>
      <c r="DA98"/>
    </row>
    <row r="99" spans="66:105" ht="36" hidden="1">
      <c r="BN99" s="16"/>
      <c r="BO99"/>
      <c r="BP99"/>
      <c r="BQ99"/>
      <c r="BR99" s="115" t="s">
        <v>261</v>
      </c>
      <c r="BS99" s="115" t="s">
        <v>433</v>
      </c>
      <c r="BT99" s="116" t="s">
        <v>434</v>
      </c>
      <c r="BU99" s="116" t="s">
        <v>435</v>
      </c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 s="18"/>
      <c r="DA99"/>
    </row>
    <row r="100" spans="66:105" hidden="1">
      <c r="BN100" s="16"/>
      <c r="BO100"/>
      <c r="BP100"/>
      <c r="BQ100"/>
      <c r="BR100" s="117" t="s">
        <v>436</v>
      </c>
      <c r="BS100" s="118" t="s">
        <v>377</v>
      </c>
      <c r="BT100" s="119">
        <v>19548</v>
      </c>
      <c r="BU100" s="119">
        <v>71600</v>
      </c>
      <c r="BV100" s="12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 s="18"/>
      <c r="DA100"/>
    </row>
    <row r="101" spans="66:105" hidden="1">
      <c r="BN101" s="16"/>
      <c r="BO101"/>
      <c r="BP101"/>
      <c r="BQ101"/>
      <c r="BR101" s="117" t="s">
        <v>337</v>
      </c>
      <c r="BS101" s="118" t="s">
        <v>437</v>
      </c>
      <c r="BT101" s="119">
        <v>19969</v>
      </c>
      <c r="BU101" s="119">
        <v>73200</v>
      </c>
      <c r="BV101" s="120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 s="18"/>
      <c r="DA101"/>
    </row>
    <row r="102" spans="66:105" hidden="1">
      <c r="BN102" s="16"/>
      <c r="BO102"/>
      <c r="BP102"/>
      <c r="BQ102"/>
      <c r="BR102" s="117"/>
      <c r="BS102" s="118" t="s">
        <v>438</v>
      </c>
      <c r="BT102" s="119">
        <v>19969</v>
      </c>
      <c r="BU102" s="119">
        <v>73200</v>
      </c>
      <c r="BV102" s="120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 s="18"/>
      <c r="DA102"/>
    </row>
    <row r="103" spans="66:105" hidden="1">
      <c r="BN103" s="16"/>
      <c r="BO103"/>
      <c r="BP103"/>
      <c r="BQ103"/>
      <c r="BR103" s="117" t="s">
        <v>379</v>
      </c>
      <c r="BS103" s="118" t="s">
        <v>379</v>
      </c>
      <c r="BT103" s="119">
        <v>19969</v>
      </c>
      <c r="BU103" s="119">
        <v>73200</v>
      </c>
      <c r="BV103" s="120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 s="18"/>
      <c r="DA103"/>
    </row>
    <row r="104" spans="66:105" hidden="1">
      <c r="BN104" s="16"/>
      <c r="BO104"/>
      <c r="BP104"/>
      <c r="BQ104"/>
      <c r="BR104" s="117" t="s">
        <v>205</v>
      </c>
      <c r="BS104" s="118" t="s">
        <v>205</v>
      </c>
      <c r="BT104" s="119">
        <v>20657</v>
      </c>
      <c r="BU104" s="119">
        <v>75700</v>
      </c>
      <c r="BV104" s="120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 s="18"/>
      <c r="DA104"/>
    </row>
    <row r="105" spans="66:105" hidden="1">
      <c r="BN105" s="16"/>
      <c r="BO105"/>
      <c r="BP105"/>
      <c r="BQ105"/>
      <c r="BR105" s="117" t="s">
        <v>218</v>
      </c>
      <c r="BS105" s="118" t="s">
        <v>218</v>
      </c>
      <c r="BT105" s="119">
        <v>21384</v>
      </c>
      <c r="BU105" s="119">
        <v>78400</v>
      </c>
      <c r="BV105" s="120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 s="18"/>
      <c r="DA105"/>
    </row>
    <row r="106" spans="66:105" hidden="1">
      <c r="BN106" s="16"/>
      <c r="BO106"/>
      <c r="BP106"/>
      <c r="BQ106"/>
      <c r="BR106" s="117" t="s">
        <v>227</v>
      </c>
      <c r="BS106" s="118" t="s">
        <v>227</v>
      </c>
      <c r="BT106" s="119">
        <v>21929</v>
      </c>
      <c r="BU106" s="119">
        <v>80300</v>
      </c>
      <c r="BV106" s="120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 s="18"/>
      <c r="DA106"/>
    </row>
    <row r="107" spans="66:105" hidden="1">
      <c r="BN107" s="16"/>
      <c r="BO107"/>
      <c r="BP107"/>
      <c r="BQ107"/>
      <c r="BR107" s="117" t="s">
        <v>301</v>
      </c>
      <c r="BS107" s="118" t="s">
        <v>402</v>
      </c>
      <c r="BT107" s="119">
        <v>19157</v>
      </c>
      <c r="BU107" s="119">
        <v>70200</v>
      </c>
      <c r="BV107" s="120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 s="18"/>
      <c r="DA107"/>
    </row>
    <row r="108" spans="66:105" hidden="1">
      <c r="BN108" s="16"/>
      <c r="BO108"/>
      <c r="BP108"/>
      <c r="BQ108"/>
      <c r="BR108" s="117" t="s">
        <v>336</v>
      </c>
      <c r="BS108" s="118" t="s">
        <v>334</v>
      </c>
      <c r="BT108" s="119">
        <v>19172</v>
      </c>
      <c r="BU108" s="119">
        <v>70200</v>
      </c>
      <c r="BV108" s="120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 s="18"/>
      <c r="DA108"/>
    </row>
    <row r="109" spans="66:105" hidden="1">
      <c r="BN109" s="16"/>
      <c r="BO109"/>
      <c r="BP109"/>
      <c r="BQ109"/>
      <c r="BR109" s="117" t="s">
        <v>439</v>
      </c>
      <c r="BS109" s="118" t="s">
        <v>440</v>
      </c>
      <c r="BT109" s="119">
        <v>19931</v>
      </c>
      <c r="BU109" s="119">
        <v>73000</v>
      </c>
      <c r="BV109" s="120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 s="18"/>
      <c r="DA109"/>
    </row>
    <row r="110" spans="66:105" hidden="1">
      <c r="BN110" s="16"/>
      <c r="BO110"/>
      <c r="BP110"/>
      <c r="BQ110"/>
      <c r="BR110" s="117" t="s">
        <v>441</v>
      </c>
      <c r="BS110" s="118" t="s">
        <v>406</v>
      </c>
      <c r="BT110" s="119">
        <v>21544</v>
      </c>
      <c r="BU110" s="119">
        <v>78900</v>
      </c>
      <c r="BV110" s="12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 s="18"/>
      <c r="DA110"/>
    </row>
    <row r="111" spans="66:105" hidden="1">
      <c r="BN111" s="16"/>
      <c r="BO111"/>
      <c r="BP111"/>
      <c r="BQ111"/>
      <c r="BR111" s="117" t="s">
        <v>360</v>
      </c>
      <c r="BS111" s="118" t="s">
        <v>359</v>
      </c>
      <c r="BT111" s="119">
        <v>19979</v>
      </c>
      <c r="BU111" s="119">
        <v>73200</v>
      </c>
      <c r="BV111" s="120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 s="18"/>
      <c r="DA111"/>
    </row>
    <row r="112" spans="66:105" hidden="1">
      <c r="BN112" s="16"/>
      <c r="BO112"/>
      <c r="BP112"/>
      <c r="BQ112"/>
      <c r="BR112" s="117" t="s">
        <v>410</v>
      </c>
      <c r="BS112" s="118" t="s">
        <v>442</v>
      </c>
      <c r="BT112" s="119">
        <v>20067</v>
      </c>
      <c r="BU112" s="119">
        <v>73500</v>
      </c>
      <c r="BV112" s="120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 s="18"/>
      <c r="DA112"/>
    </row>
    <row r="113" spans="66:105" hidden="1">
      <c r="BN113" s="16"/>
      <c r="BO113"/>
      <c r="BP113"/>
      <c r="BQ113"/>
      <c r="BR113" s="117" t="s">
        <v>412</v>
      </c>
      <c r="BS113" s="118" t="s">
        <v>443</v>
      </c>
      <c r="BT113" s="119">
        <v>21729</v>
      </c>
      <c r="BU113" s="119">
        <v>79600</v>
      </c>
      <c r="BV113" s="120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 s="18"/>
      <c r="DA113"/>
    </row>
    <row r="114" spans="66:105" hidden="1">
      <c r="BN114" s="16"/>
      <c r="BO114"/>
      <c r="BP114"/>
      <c r="BQ114"/>
      <c r="BR114" s="117" t="s">
        <v>444</v>
      </c>
      <c r="BS114" s="118" t="s">
        <v>372</v>
      </c>
      <c r="BT114" s="119">
        <v>17641</v>
      </c>
      <c r="BU114" s="119">
        <v>64600</v>
      </c>
      <c r="BV114" s="120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 s="18"/>
      <c r="DA114"/>
    </row>
    <row r="115" spans="66:105" hidden="1">
      <c r="BN115" s="16"/>
      <c r="BO115"/>
      <c r="BP115"/>
      <c r="BQ115"/>
      <c r="BR115" s="117" t="s">
        <v>445</v>
      </c>
      <c r="BS115" s="118" t="s">
        <v>343</v>
      </c>
      <c r="BT115" s="119">
        <v>18107</v>
      </c>
      <c r="BU115" s="119">
        <v>66300</v>
      </c>
      <c r="BV115" s="120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 s="18"/>
      <c r="DA115"/>
    </row>
    <row r="116" spans="66:105" hidden="1">
      <c r="BN116" s="16"/>
      <c r="BO116"/>
      <c r="BP116"/>
      <c r="BQ116"/>
      <c r="BR116" s="117" t="s">
        <v>304</v>
      </c>
      <c r="BS116" s="118" t="s">
        <v>304</v>
      </c>
      <c r="BT116" s="119">
        <v>15312</v>
      </c>
      <c r="BU116" s="119">
        <v>56100</v>
      </c>
      <c r="BV116" s="120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 s="18"/>
      <c r="DA116"/>
    </row>
    <row r="117" spans="66:105" hidden="1">
      <c r="BN117" s="16"/>
      <c r="BO117"/>
      <c r="BP117"/>
      <c r="BQ117"/>
      <c r="BR117" s="117" t="s">
        <v>237</v>
      </c>
      <c r="BS117" s="118" t="s">
        <v>237</v>
      </c>
      <c r="BT117" s="119">
        <v>15312</v>
      </c>
      <c r="BU117" s="119">
        <v>56100</v>
      </c>
      <c r="BV117" s="120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 s="18"/>
      <c r="DA117"/>
    </row>
    <row r="118" spans="66:105" hidden="1">
      <c r="BN118" s="16"/>
      <c r="BO118"/>
      <c r="BP118"/>
      <c r="BQ118"/>
      <c r="BR118" s="117" t="s">
        <v>310</v>
      </c>
      <c r="BS118" s="118" t="s">
        <v>310</v>
      </c>
      <c r="BT118" s="119">
        <v>17454</v>
      </c>
      <c r="BU118" s="119">
        <v>64000</v>
      </c>
      <c r="BV118" s="120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 s="18"/>
      <c r="DA118"/>
    </row>
    <row r="119" spans="66:105" hidden="1">
      <c r="BN119" s="16"/>
      <c r="BO119"/>
      <c r="BP119"/>
      <c r="BQ119"/>
      <c r="BR119" s="117" t="s">
        <v>264</v>
      </c>
      <c r="BS119" s="118" t="s">
        <v>264</v>
      </c>
      <c r="BT119" s="119">
        <v>30185</v>
      </c>
      <c r="BU119" s="119">
        <v>110600</v>
      </c>
      <c r="BV119" s="120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 s="18"/>
      <c r="DA119"/>
    </row>
    <row r="120" spans="66:105" hidden="1">
      <c r="BN120" s="16"/>
      <c r="BO120"/>
      <c r="BP120"/>
      <c r="BQ120"/>
      <c r="BR120" s="117" t="s">
        <v>417</v>
      </c>
      <c r="BS120" s="118" t="s">
        <v>446</v>
      </c>
      <c r="BT120" s="119">
        <v>27404</v>
      </c>
      <c r="BU120" s="119">
        <v>100400</v>
      </c>
      <c r="BV120" s="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 s="18"/>
      <c r="DA120"/>
    </row>
    <row r="121" spans="66:105" hidden="1">
      <c r="BN121" s="16"/>
      <c r="BO121"/>
      <c r="BP121"/>
      <c r="BQ121"/>
      <c r="BR121" s="117" t="s">
        <v>418</v>
      </c>
      <c r="BS121" s="118" t="s">
        <v>447</v>
      </c>
      <c r="BT121" s="119">
        <v>29909</v>
      </c>
      <c r="BU121" s="119">
        <v>109600</v>
      </c>
      <c r="BV121" s="120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 s="18"/>
      <c r="DA121"/>
    </row>
    <row r="122" spans="66:105" hidden="1">
      <c r="BN122" s="16"/>
      <c r="BO122"/>
      <c r="BP122"/>
      <c r="BQ122"/>
      <c r="BR122" s="117" t="s">
        <v>234</v>
      </c>
      <c r="BS122" s="118" t="s">
        <v>419</v>
      </c>
      <c r="BT122" s="119">
        <v>25951</v>
      </c>
      <c r="BU122" s="119">
        <v>95100</v>
      </c>
      <c r="BV122" s="120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 s="18"/>
      <c r="DA122"/>
    </row>
    <row r="123" spans="66:105" hidden="1">
      <c r="BN123" s="16"/>
      <c r="BO123"/>
      <c r="BP123"/>
      <c r="BQ123"/>
      <c r="BR123" s="117" t="s">
        <v>448</v>
      </c>
      <c r="BS123" s="118" t="s">
        <v>422</v>
      </c>
      <c r="BT123" s="119">
        <v>25963</v>
      </c>
      <c r="BU123" s="119">
        <v>95100</v>
      </c>
      <c r="BV123" s="120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 s="18"/>
      <c r="DA123"/>
    </row>
    <row r="124" spans="66:105" hidden="1">
      <c r="BN124" s="16"/>
      <c r="BO124"/>
      <c r="BP124"/>
      <c r="BQ124"/>
      <c r="BR124" s="117" t="s">
        <v>449</v>
      </c>
      <c r="BS124" s="118" t="s">
        <v>425</v>
      </c>
      <c r="BT124" s="119">
        <v>26468</v>
      </c>
      <c r="BU124" s="119">
        <v>97000</v>
      </c>
      <c r="BV124" s="120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 s="18"/>
      <c r="DA124"/>
    </row>
    <row r="125" spans="66:105" hidden="1">
      <c r="BN125" s="16"/>
      <c r="CZ125" s="121"/>
    </row>
    <row r="126" spans="66:105" hidden="1">
      <c r="BN126" s="16"/>
      <c r="CZ126" s="121"/>
    </row>
    <row r="127" spans="66:105" hidden="1">
      <c r="BN127" s="16"/>
      <c r="CZ127" s="121"/>
    </row>
    <row r="128" spans="66:105" hidden="1">
      <c r="BN128" s="16"/>
      <c r="CZ128" s="121"/>
    </row>
    <row r="129" spans="66:104" hidden="1">
      <c r="BN129" s="16"/>
      <c r="CZ129" s="121"/>
    </row>
    <row r="130" spans="66:104" hidden="1">
      <c r="BN130" s="16"/>
      <c r="CZ130" s="121"/>
    </row>
    <row r="131" spans="66:104" hidden="1">
      <c r="BN131" s="16"/>
      <c r="CZ131" s="121"/>
    </row>
    <row r="132" spans="66:104" hidden="1">
      <c r="BN132" s="16"/>
      <c r="CZ132" s="121"/>
    </row>
    <row r="133" spans="66:104" hidden="1">
      <c r="BN133" s="16"/>
      <c r="CZ133" s="121"/>
    </row>
    <row r="134" spans="66:104" hidden="1">
      <c r="BN134" s="16"/>
      <c r="CZ134" s="121"/>
    </row>
    <row r="135" spans="66:104" hidden="1">
      <c r="BN135" s="16"/>
      <c r="CZ135" s="121"/>
    </row>
    <row r="136" spans="66:104" hidden="1">
      <c r="BN136" s="16"/>
      <c r="CZ136" s="121"/>
    </row>
    <row r="137" spans="66:104" hidden="1">
      <c r="BN137" s="16"/>
      <c r="CZ137" s="121"/>
    </row>
    <row r="138" spans="66:104" hidden="1">
      <c r="BN138" s="16"/>
      <c r="CZ138" s="121"/>
    </row>
    <row r="139" spans="66:104" hidden="1">
      <c r="BN139" s="16"/>
      <c r="CZ139" s="121"/>
    </row>
    <row r="140" spans="66:104" hidden="1">
      <c r="BN140" s="16"/>
      <c r="CZ140" s="121"/>
    </row>
    <row r="141" spans="66:104" hidden="1">
      <c r="BN141" s="16"/>
      <c r="CZ141" s="121"/>
    </row>
    <row r="142" spans="66:104" hidden="1">
      <c r="BN142" s="16"/>
      <c r="CZ142" s="121"/>
    </row>
    <row r="143" spans="66:104" hidden="1">
      <c r="BN143" s="16"/>
      <c r="CZ143" s="121"/>
    </row>
    <row r="144" spans="66:104" hidden="1">
      <c r="BN144" s="16"/>
      <c r="CZ144" s="121"/>
    </row>
    <row r="145" spans="66:104" hidden="1">
      <c r="BN145" s="16"/>
      <c r="CZ145" s="121"/>
    </row>
    <row r="146" spans="66:104" hidden="1">
      <c r="BN146" s="16"/>
      <c r="CZ146" s="121"/>
    </row>
    <row r="147" spans="66:104" hidden="1">
      <c r="BN147" s="16"/>
      <c r="CZ147" s="121"/>
    </row>
    <row r="148" spans="66:104" hidden="1">
      <c r="BN148" s="16"/>
      <c r="CZ148" s="121"/>
    </row>
    <row r="149" spans="66:104" hidden="1">
      <c r="BN149" s="16"/>
      <c r="CZ149" s="121"/>
    </row>
    <row r="150" spans="66:104" hidden="1">
      <c r="BN150" s="16"/>
      <c r="CZ150" s="121"/>
    </row>
    <row r="151" spans="66:104" hidden="1">
      <c r="BN151" s="16"/>
      <c r="CZ151" s="121"/>
    </row>
    <row r="152" spans="66:104" hidden="1">
      <c r="BN152" s="16"/>
      <c r="CZ152" s="121"/>
    </row>
    <row r="153" spans="66:104" hidden="1">
      <c r="BN153" s="16"/>
      <c r="CZ153" s="121"/>
    </row>
    <row r="154" spans="66:104" hidden="1">
      <c r="BN154" s="16"/>
      <c r="CZ154" s="121"/>
    </row>
    <row r="155" spans="66:104" hidden="1">
      <c r="BN155" s="16"/>
      <c r="CZ155" s="121"/>
    </row>
    <row r="156" spans="66:104" ht="17.25" hidden="1" thickBot="1">
      <c r="BN156" s="16"/>
      <c r="CZ156" s="121"/>
    </row>
    <row r="157" spans="66:104" ht="18" hidden="1" thickBot="1">
      <c r="BN157" s="122" t="s">
        <v>450</v>
      </c>
      <c r="BO157" s="123"/>
      <c r="BP157" s="123"/>
      <c r="BQ157" s="124"/>
      <c r="CZ157" s="121"/>
    </row>
    <row r="158" spans="66:104" hidden="1">
      <c r="BN158" s="16"/>
      <c r="CZ158" s="121"/>
    </row>
    <row r="159" spans="66:104" hidden="1">
      <c r="BN159" s="62">
        <v>0</v>
      </c>
      <c r="BO159" s="125" t="s">
        <v>451</v>
      </c>
      <c r="BP159" s="125" t="s">
        <v>452</v>
      </c>
      <c r="BQ159" s="125" t="s">
        <v>361</v>
      </c>
      <c r="CZ159" s="121"/>
    </row>
    <row r="160" spans="66:104" hidden="1">
      <c r="BN160" s="62">
        <v>0</v>
      </c>
      <c r="BO160" s="125" t="s">
        <v>453</v>
      </c>
      <c r="BP160" s="125">
        <v>0</v>
      </c>
      <c r="BQ160" s="125" t="s">
        <v>418</v>
      </c>
      <c r="CZ160" s="121"/>
    </row>
    <row r="161" spans="66:104" hidden="1">
      <c r="BN161" s="62">
        <v>0</v>
      </c>
      <c r="BO161" s="125" t="s">
        <v>453</v>
      </c>
      <c r="BP161" s="125">
        <v>0</v>
      </c>
      <c r="BQ161" s="125" t="s">
        <v>428</v>
      </c>
      <c r="CZ161" s="121"/>
    </row>
    <row r="162" spans="66:104" hidden="1">
      <c r="BN162" s="62">
        <v>0</v>
      </c>
      <c r="BO162" s="125" t="s">
        <v>453</v>
      </c>
      <c r="BP162" s="125">
        <v>0</v>
      </c>
      <c r="BQ162" s="125" t="s">
        <v>430</v>
      </c>
      <c r="CZ162" s="121"/>
    </row>
    <row r="163" spans="66:104" hidden="1">
      <c r="BN163" s="126" t="s">
        <v>216</v>
      </c>
      <c r="BO163" s="127" t="s">
        <v>454</v>
      </c>
      <c r="BP163" s="127" t="s">
        <v>455</v>
      </c>
      <c r="BQ163" s="127" t="s">
        <v>456</v>
      </c>
      <c r="CZ163" s="121"/>
    </row>
    <row r="164" spans="66:104" hidden="1">
      <c r="BN164" s="126" t="s">
        <v>216</v>
      </c>
      <c r="BO164" s="127" t="s">
        <v>454</v>
      </c>
      <c r="BP164" s="127" t="s">
        <v>455</v>
      </c>
      <c r="BQ164" s="127" t="s">
        <v>457</v>
      </c>
      <c r="CZ164" s="121"/>
    </row>
    <row r="165" spans="66:104" hidden="1">
      <c r="BN165" s="128" t="s">
        <v>458</v>
      </c>
      <c r="BO165" s="129" t="s">
        <v>451</v>
      </c>
      <c r="BP165" s="129" t="s">
        <v>452</v>
      </c>
      <c r="BQ165" s="129" t="s">
        <v>230</v>
      </c>
      <c r="BR165" s="14">
        <f t="shared" ref="BR165:BR188" si="19">COUNTIF(고체연료,BQ165)</f>
        <v>1</v>
      </c>
      <c r="CZ165" s="121"/>
    </row>
    <row r="166" spans="66:104" hidden="1">
      <c r="BN166" s="128" t="s">
        <v>458</v>
      </c>
      <c r="BO166" s="129" t="s">
        <v>451</v>
      </c>
      <c r="BP166" s="129" t="s">
        <v>452</v>
      </c>
      <c r="BQ166" s="129" t="s">
        <v>246</v>
      </c>
      <c r="BR166" s="14">
        <f t="shared" si="19"/>
        <v>1</v>
      </c>
      <c r="CZ166" s="121"/>
    </row>
    <row r="167" spans="66:104" hidden="1">
      <c r="BN167" s="128" t="s">
        <v>458</v>
      </c>
      <c r="BO167" s="129" t="s">
        <v>451</v>
      </c>
      <c r="BP167" s="129" t="s">
        <v>452</v>
      </c>
      <c r="BQ167" s="129" t="s">
        <v>221</v>
      </c>
      <c r="BR167" s="14">
        <f t="shared" si="19"/>
        <v>1</v>
      </c>
      <c r="CZ167" s="121"/>
    </row>
    <row r="168" spans="66:104" hidden="1">
      <c r="BN168" s="128" t="s">
        <v>458</v>
      </c>
      <c r="BO168" s="129" t="s">
        <v>451</v>
      </c>
      <c r="BP168" s="129" t="s">
        <v>452</v>
      </c>
      <c r="BQ168" s="129" t="s">
        <v>259</v>
      </c>
      <c r="BR168" s="14">
        <f t="shared" si="19"/>
        <v>1</v>
      </c>
      <c r="CZ168" s="121"/>
    </row>
    <row r="169" spans="66:104" hidden="1">
      <c r="BN169" s="128" t="s">
        <v>458</v>
      </c>
      <c r="BO169" s="129" t="s">
        <v>451</v>
      </c>
      <c r="BP169" s="129" t="s">
        <v>452</v>
      </c>
      <c r="BQ169" s="129" t="s">
        <v>264</v>
      </c>
      <c r="BR169" s="14">
        <f t="shared" si="19"/>
        <v>1</v>
      </c>
      <c r="CZ169" s="121"/>
    </row>
    <row r="170" spans="66:104" hidden="1">
      <c r="BN170" s="128" t="s">
        <v>458</v>
      </c>
      <c r="BO170" s="129" t="s">
        <v>451</v>
      </c>
      <c r="BP170" s="129" t="s">
        <v>452</v>
      </c>
      <c r="BQ170" s="129" t="s">
        <v>239</v>
      </c>
      <c r="BR170" s="14">
        <f t="shared" si="19"/>
        <v>1</v>
      </c>
      <c r="CZ170" s="121"/>
    </row>
    <row r="171" spans="66:104" hidden="1">
      <c r="BN171" s="128" t="s">
        <v>458</v>
      </c>
      <c r="BO171" s="129" t="s">
        <v>451</v>
      </c>
      <c r="BP171" s="129" t="s">
        <v>452</v>
      </c>
      <c r="BQ171" s="129" t="s">
        <v>271</v>
      </c>
      <c r="BR171" s="14">
        <f t="shared" si="19"/>
        <v>1</v>
      </c>
      <c r="CZ171" s="121"/>
    </row>
    <row r="172" spans="66:104" hidden="1">
      <c r="BN172" s="128" t="s">
        <v>458</v>
      </c>
      <c r="BO172" s="129" t="s">
        <v>451</v>
      </c>
      <c r="BP172" s="129" t="s">
        <v>452</v>
      </c>
      <c r="BQ172" s="129" t="s">
        <v>317</v>
      </c>
      <c r="BR172" s="14">
        <f t="shared" si="19"/>
        <v>1</v>
      </c>
      <c r="CZ172" s="121"/>
    </row>
    <row r="173" spans="66:104" hidden="1">
      <c r="BN173" s="128" t="s">
        <v>458</v>
      </c>
      <c r="BO173" s="129" t="s">
        <v>451</v>
      </c>
      <c r="BP173" s="129" t="s">
        <v>452</v>
      </c>
      <c r="BQ173" s="129" t="s">
        <v>325</v>
      </c>
      <c r="BR173" s="14">
        <f t="shared" si="19"/>
        <v>1</v>
      </c>
      <c r="CZ173" s="121"/>
    </row>
    <row r="174" spans="66:104" hidden="1">
      <c r="BN174" s="128" t="s">
        <v>458</v>
      </c>
      <c r="BO174" s="129" t="s">
        <v>451</v>
      </c>
      <c r="BP174" s="129" t="s">
        <v>452</v>
      </c>
      <c r="BQ174" s="129" t="s">
        <v>328</v>
      </c>
      <c r="BR174" s="14">
        <f t="shared" si="19"/>
        <v>1</v>
      </c>
      <c r="CZ174" s="121"/>
    </row>
    <row r="175" spans="66:104" hidden="1">
      <c r="BN175" s="128" t="s">
        <v>458</v>
      </c>
      <c r="BO175" s="129" t="s">
        <v>451</v>
      </c>
      <c r="BP175" s="129" t="s">
        <v>452</v>
      </c>
      <c r="BQ175" s="129" t="s">
        <v>345</v>
      </c>
      <c r="BR175" s="14">
        <f t="shared" si="19"/>
        <v>1</v>
      </c>
      <c r="CZ175" s="121"/>
    </row>
    <row r="176" spans="66:104" hidden="1">
      <c r="BN176" s="128" t="s">
        <v>458</v>
      </c>
      <c r="BO176" s="129" t="s">
        <v>451</v>
      </c>
      <c r="BP176" s="129" t="s">
        <v>452</v>
      </c>
      <c r="BQ176" s="129" t="s">
        <v>347</v>
      </c>
      <c r="BR176" s="14">
        <f t="shared" si="19"/>
        <v>1</v>
      </c>
      <c r="CZ176" s="121"/>
    </row>
    <row r="177" spans="66:104" hidden="1">
      <c r="BN177" s="128" t="s">
        <v>458</v>
      </c>
      <c r="BO177" s="129" t="s">
        <v>451</v>
      </c>
      <c r="BP177" s="129" t="s">
        <v>452</v>
      </c>
      <c r="BQ177" s="129" t="s">
        <v>349</v>
      </c>
      <c r="BR177" s="14">
        <f t="shared" si="19"/>
        <v>1</v>
      </c>
      <c r="CZ177" s="121"/>
    </row>
    <row r="178" spans="66:104" hidden="1">
      <c r="BN178" s="128" t="s">
        <v>458</v>
      </c>
      <c r="BO178" s="129" t="s">
        <v>451</v>
      </c>
      <c r="BP178" s="129" t="s">
        <v>452</v>
      </c>
      <c r="BQ178" s="129" t="s">
        <v>234</v>
      </c>
      <c r="BR178" s="14">
        <f t="shared" si="19"/>
        <v>1</v>
      </c>
      <c r="CZ178" s="121"/>
    </row>
    <row r="179" spans="66:104" hidden="1">
      <c r="BN179" s="128" t="s">
        <v>458</v>
      </c>
      <c r="BO179" s="129" t="s">
        <v>451</v>
      </c>
      <c r="BP179" s="129" t="s">
        <v>452</v>
      </c>
      <c r="BQ179" s="129" t="s">
        <v>356</v>
      </c>
      <c r="BR179" s="14">
        <f t="shared" si="19"/>
        <v>1</v>
      </c>
      <c r="CZ179" s="121"/>
    </row>
    <row r="180" spans="66:104" hidden="1">
      <c r="BN180" s="128" t="s">
        <v>458</v>
      </c>
      <c r="BO180" s="129" t="s">
        <v>451</v>
      </c>
      <c r="BP180" s="129" t="s">
        <v>452</v>
      </c>
      <c r="BQ180" s="129" t="s">
        <v>358</v>
      </c>
      <c r="BR180" s="14">
        <f t="shared" si="19"/>
        <v>1</v>
      </c>
      <c r="CZ180" s="121"/>
    </row>
    <row r="181" spans="66:104" hidden="1">
      <c r="BN181" s="128" t="s">
        <v>458</v>
      </c>
      <c r="BO181" s="129" t="s">
        <v>451</v>
      </c>
      <c r="BP181" s="129" t="s">
        <v>452</v>
      </c>
      <c r="BQ181" s="129" t="s">
        <v>365</v>
      </c>
      <c r="BR181" s="14">
        <f t="shared" si="19"/>
        <v>1</v>
      </c>
      <c r="CZ181" s="121"/>
    </row>
    <row r="182" spans="66:104" hidden="1">
      <c r="BN182" s="128" t="s">
        <v>458</v>
      </c>
      <c r="BO182" s="129" t="s">
        <v>451</v>
      </c>
      <c r="BP182" s="129" t="s">
        <v>452</v>
      </c>
      <c r="BQ182" s="129" t="s">
        <v>369</v>
      </c>
      <c r="BR182" s="14">
        <f t="shared" si="19"/>
        <v>1</v>
      </c>
      <c r="CZ182" s="121"/>
    </row>
    <row r="183" spans="66:104" hidden="1">
      <c r="BN183" s="128" t="s">
        <v>458</v>
      </c>
      <c r="BO183" s="129" t="s">
        <v>451</v>
      </c>
      <c r="BP183" s="129" t="s">
        <v>452</v>
      </c>
      <c r="BQ183" s="129" t="s">
        <v>371</v>
      </c>
      <c r="BR183" s="14">
        <f t="shared" si="19"/>
        <v>1</v>
      </c>
      <c r="CZ183" s="121"/>
    </row>
    <row r="184" spans="66:104" hidden="1">
      <c r="BN184" s="128" t="s">
        <v>458</v>
      </c>
      <c r="BO184" s="129" t="s">
        <v>451</v>
      </c>
      <c r="BP184" s="129" t="s">
        <v>452</v>
      </c>
      <c r="BQ184" s="129" t="s">
        <v>373</v>
      </c>
      <c r="BR184" s="14">
        <f t="shared" si="19"/>
        <v>1</v>
      </c>
      <c r="CZ184" s="121"/>
    </row>
    <row r="185" spans="66:104" hidden="1">
      <c r="BN185" s="128" t="s">
        <v>458</v>
      </c>
      <c r="BO185" s="129" t="s">
        <v>453</v>
      </c>
      <c r="BP185" s="129"/>
      <c r="BQ185" s="129" t="s">
        <v>406</v>
      </c>
      <c r="BR185" s="14">
        <f t="shared" si="19"/>
        <v>1</v>
      </c>
      <c r="CZ185" s="121"/>
    </row>
    <row r="186" spans="66:104" hidden="1">
      <c r="BN186" s="128" t="s">
        <v>458</v>
      </c>
      <c r="BO186" s="129" t="s">
        <v>453</v>
      </c>
      <c r="BP186" s="129"/>
      <c r="BQ186" s="129" t="s">
        <v>417</v>
      </c>
      <c r="BR186" s="14">
        <f t="shared" si="19"/>
        <v>1</v>
      </c>
      <c r="CZ186" s="121"/>
    </row>
    <row r="187" spans="66:104" hidden="1">
      <c r="BN187" s="128" t="s">
        <v>458</v>
      </c>
      <c r="BO187" s="129" t="s">
        <v>453</v>
      </c>
      <c r="BP187" s="129"/>
      <c r="BQ187" s="129" t="s">
        <v>448</v>
      </c>
      <c r="BR187" s="14">
        <f t="shared" si="19"/>
        <v>1</v>
      </c>
      <c r="CZ187" s="121"/>
    </row>
    <row r="188" spans="66:104" hidden="1">
      <c r="BN188" s="128" t="s">
        <v>458</v>
      </c>
      <c r="BO188" s="129" t="s">
        <v>453</v>
      </c>
      <c r="BP188" s="129"/>
      <c r="BQ188" s="129" t="s">
        <v>449</v>
      </c>
      <c r="BR188" s="14">
        <f t="shared" si="19"/>
        <v>1</v>
      </c>
      <c r="CZ188" s="121"/>
    </row>
    <row r="189" spans="66:104" hidden="1">
      <c r="BN189" s="130" t="s">
        <v>459</v>
      </c>
      <c r="BO189" s="131" t="s">
        <v>451</v>
      </c>
      <c r="BP189" s="131" t="s">
        <v>452</v>
      </c>
      <c r="BQ189" s="131" t="s">
        <v>275</v>
      </c>
      <c r="BR189" s="14">
        <f t="shared" ref="BR189:BR199" si="20">COUNTIF(기체연료,BQ189)</f>
        <v>1</v>
      </c>
      <c r="CZ189" s="121"/>
    </row>
    <row r="190" spans="66:104" hidden="1">
      <c r="BN190" s="130" t="s">
        <v>459</v>
      </c>
      <c r="BO190" s="131" t="s">
        <v>451</v>
      </c>
      <c r="BP190" s="131" t="s">
        <v>452</v>
      </c>
      <c r="BQ190" s="131" t="s">
        <v>281</v>
      </c>
      <c r="BR190" s="14">
        <f t="shared" si="20"/>
        <v>1</v>
      </c>
      <c r="CZ190" s="121"/>
    </row>
    <row r="191" spans="66:104" hidden="1">
      <c r="BN191" s="130" t="s">
        <v>459</v>
      </c>
      <c r="BO191" s="131" t="s">
        <v>451</v>
      </c>
      <c r="BP191" s="131" t="s">
        <v>452</v>
      </c>
      <c r="BQ191" s="131" t="s">
        <v>237</v>
      </c>
      <c r="BR191" s="14">
        <f t="shared" si="20"/>
        <v>1</v>
      </c>
      <c r="CZ191" s="121"/>
    </row>
    <row r="192" spans="66:104" hidden="1">
      <c r="BN192" s="130" t="s">
        <v>459</v>
      </c>
      <c r="BO192" s="131" t="s">
        <v>451</v>
      </c>
      <c r="BP192" s="131" t="s">
        <v>452</v>
      </c>
      <c r="BQ192" s="131" t="s">
        <v>310</v>
      </c>
      <c r="BR192" s="14">
        <f t="shared" si="20"/>
        <v>1</v>
      </c>
      <c r="CZ192" s="121"/>
    </row>
    <row r="193" spans="66:104" hidden="1">
      <c r="BN193" s="130" t="s">
        <v>459</v>
      </c>
      <c r="BO193" s="131" t="s">
        <v>451</v>
      </c>
      <c r="BP193" s="131" t="s">
        <v>452</v>
      </c>
      <c r="BQ193" s="131" t="s">
        <v>320</v>
      </c>
      <c r="BR193" s="14">
        <f t="shared" si="20"/>
        <v>1</v>
      </c>
      <c r="CZ193" s="121"/>
    </row>
    <row r="194" spans="66:104" hidden="1">
      <c r="BN194" s="130" t="s">
        <v>459</v>
      </c>
      <c r="BO194" s="131" t="s">
        <v>451</v>
      </c>
      <c r="BP194" s="131" t="s">
        <v>452</v>
      </c>
      <c r="BQ194" s="131" t="s">
        <v>323</v>
      </c>
      <c r="BR194" s="14">
        <f t="shared" si="20"/>
        <v>1</v>
      </c>
      <c r="CZ194" s="121"/>
    </row>
    <row r="195" spans="66:104" hidden="1">
      <c r="BN195" s="130" t="s">
        <v>459</v>
      </c>
      <c r="BO195" s="131" t="s">
        <v>451</v>
      </c>
      <c r="BP195" s="131" t="s">
        <v>452</v>
      </c>
      <c r="BQ195" s="131" t="s">
        <v>343</v>
      </c>
      <c r="BR195" s="14">
        <f t="shared" si="20"/>
        <v>1</v>
      </c>
      <c r="CZ195" s="121"/>
    </row>
    <row r="196" spans="66:104" hidden="1">
      <c r="BN196" s="130" t="s">
        <v>459</v>
      </c>
      <c r="BO196" s="131" t="s">
        <v>451</v>
      </c>
      <c r="BP196" s="131" t="s">
        <v>452</v>
      </c>
      <c r="BQ196" s="131" t="s">
        <v>350</v>
      </c>
      <c r="BR196" s="14">
        <f t="shared" si="20"/>
        <v>1</v>
      </c>
      <c r="CZ196" s="121"/>
    </row>
    <row r="197" spans="66:104" hidden="1">
      <c r="BN197" s="130" t="s">
        <v>459</v>
      </c>
      <c r="BO197" s="131" t="s">
        <v>451</v>
      </c>
      <c r="BP197" s="131" t="s">
        <v>452</v>
      </c>
      <c r="BQ197" s="131" t="s">
        <v>304</v>
      </c>
      <c r="BR197" s="14">
        <f t="shared" si="20"/>
        <v>1</v>
      </c>
      <c r="CZ197" s="121"/>
    </row>
    <row r="198" spans="66:104" hidden="1">
      <c r="BN198" s="130" t="s">
        <v>459</v>
      </c>
      <c r="BO198" s="131" t="s">
        <v>451</v>
      </c>
      <c r="BP198" s="131" t="s">
        <v>452</v>
      </c>
      <c r="BQ198" s="131" t="s">
        <v>368</v>
      </c>
      <c r="BR198" s="14">
        <f t="shared" si="20"/>
        <v>1</v>
      </c>
      <c r="CZ198" s="121"/>
    </row>
    <row r="199" spans="66:104" hidden="1">
      <c r="BN199" s="130" t="s">
        <v>459</v>
      </c>
      <c r="BO199" s="131" t="s">
        <v>451</v>
      </c>
      <c r="BP199" s="131" t="s">
        <v>452</v>
      </c>
      <c r="BQ199" s="131" t="s">
        <v>372</v>
      </c>
      <c r="BR199" s="14">
        <f t="shared" si="20"/>
        <v>1</v>
      </c>
      <c r="CZ199" s="121"/>
    </row>
    <row r="200" spans="66:104" hidden="1">
      <c r="BN200" s="132" t="s">
        <v>460</v>
      </c>
      <c r="BO200" s="133" t="s">
        <v>451</v>
      </c>
      <c r="BP200" s="133" t="s">
        <v>452</v>
      </c>
      <c r="BQ200" s="133" t="s">
        <v>205</v>
      </c>
      <c r="BR200" s="14">
        <f t="shared" ref="BR200:BR221" si="21">COUNTIF(액체연료,BQ200)</f>
        <v>1</v>
      </c>
      <c r="CZ200" s="121"/>
    </row>
    <row r="201" spans="66:104" hidden="1">
      <c r="BN201" s="132" t="s">
        <v>460</v>
      </c>
      <c r="BO201" s="133" t="s">
        <v>451</v>
      </c>
      <c r="BP201" s="133" t="s">
        <v>452</v>
      </c>
      <c r="BQ201" s="133" t="s">
        <v>218</v>
      </c>
      <c r="BR201" s="14">
        <f t="shared" si="21"/>
        <v>1</v>
      </c>
      <c r="CZ201" s="121"/>
    </row>
    <row r="202" spans="66:104" hidden="1">
      <c r="BN202" s="132" t="s">
        <v>460</v>
      </c>
      <c r="BO202" s="133" t="s">
        <v>451</v>
      </c>
      <c r="BP202" s="133" t="s">
        <v>452</v>
      </c>
      <c r="BQ202" s="133" t="s">
        <v>227</v>
      </c>
      <c r="BR202" s="14">
        <f t="shared" si="21"/>
        <v>1</v>
      </c>
      <c r="CZ202" s="121"/>
    </row>
    <row r="203" spans="66:104" hidden="1">
      <c r="BN203" s="132" t="s">
        <v>460</v>
      </c>
      <c r="BO203" s="133" t="s">
        <v>451</v>
      </c>
      <c r="BP203" s="133" t="s">
        <v>452</v>
      </c>
      <c r="BQ203" s="133" t="s">
        <v>254</v>
      </c>
      <c r="BR203" s="14">
        <f t="shared" si="21"/>
        <v>1</v>
      </c>
      <c r="CZ203" s="121"/>
    </row>
    <row r="204" spans="66:104" hidden="1">
      <c r="BN204" s="132" t="s">
        <v>460</v>
      </c>
      <c r="BO204" s="133" t="s">
        <v>451</v>
      </c>
      <c r="BP204" s="133" t="s">
        <v>452</v>
      </c>
      <c r="BQ204" s="133" t="s">
        <v>284</v>
      </c>
      <c r="BR204" s="14">
        <f t="shared" si="21"/>
        <v>1</v>
      </c>
      <c r="CZ204" s="121"/>
    </row>
    <row r="205" spans="66:104" hidden="1">
      <c r="BN205" s="132" t="s">
        <v>460</v>
      </c>
      <c r="BO205" s="133" t="s">
        <v>451</v>
      </c>
      <c r="BP205" s="133" t="s">
        <v>452</v>
      </c>
      <c r="BQ205" s="133" t="s">
        <v>290</v>
      </c>
      <c r="BR205" s="14">
        <f t="shared" si="21"/>
        <v>1</v>
      </c>
      <c r="CZ205" s="121"/>
    </row>
    <row r="206" spans="66:104" hidden="1">
      <c r="BN206" s="132" t="s">
        <v>460</v>
      </c>
      <c r="BO206" s="133" t="s">
        <v>451</v>
      </c>
      <c r="BP206" s="133" t="s">
        <v>452</v>
      </c>
      <c r="BQ206" s="133" t="s">
        <v>295</v>
      </c>
      <c r="BR206" s="14">
        <f t="shared" si="21"/>
        <v>1</v>
      </c>
      <c r="CZ206" s="121"/>
    </row>
    <row r="207" spans="66:104" hidden="1">
      <c r="BN207" s="132" t="s">
        <v>460</v>
      </c>
      <c r="BO207" s="133" t="s">
        <v>451</v>
      </c>
      <c r="BP207" s="133" t="s">
        <v>452</v>
      </c>
      <c r="BQ207" s="133" t="s">
        <v>300</v>
      </c>
      <c r="BR207" s="14">
        <f t="shared" si="21"/>
        <v>1</v>
      </c>
      <c r="CZ207" s="121"/>
    </row>
    <row r="208" spans="66:104" hidden="1">
      <c r="BN208" s="132" t="s">
        <v>460</v>
      </c>
      <c r="BO208" s="133" t="s">
        <v>451</v>
      </c>
      <c r="BP208" s="133" t="s">
        <v>452</v>
      </c>
      <c r="BQ208" s="133" t="s">
        <v>331</v>
      </c>
      <c r="BR208" s="14">
        <f t="shared" si="21"/>
        <v>1</v>
      </c>
      <c r="CZ208" s="121"/>
    </row>
    <row r="209" spans="66:104" hidden="1">
      <c r="BN209" s="132" t="s">
        <v>460</v>
      </c>
      <c r="BO209" s="133" t="s">
        <v>451</v>
      </c>
      <c r="BP209" s="133" t="s">
        <v>452</v>
      </c>
      <c r="BQ209" s="133" t="s">
        <v>333</v>
      </c>
      <c r="BR209" s="14">
        <f t="shared" si="21"/>
        <v>1</v>
      </c>
      <c r="CZ209" s="121"/>
    </row>
    <row r="210" spans="66:104" hidden="1">
      <c r="BN210" s="132" t="s">
        <v>460</v>
      </c>
      <c r="BO210" s="133" t="s">
        <v>451</v>
      </c>
      <c r="BP210" s="133" t="s">
        <v>452</v>
      </c>
      <c r="BQ210" s="133" t="s">
        <v>398</v>
      </c>
      <c r="BR210" s="14">
        <f t="shared" si="21"/>
        <v>1</v>
      </c>
      <c r="CZ210" s="121"/>
    </row>
    <row r="211" spans="66:104" hidden="1">
      <c r="BN211" s="132" t="s">
        <v>460</v>
      </c>
      <c r="BO211" s="133" t="s">
        <v>451</v>
      </c>
      <c r="BP211" s="133" t="s">
        <v>452</v>
      </c>
      <c r="BQ211" s="133" t="s">
        <v>339</v>
      </c>
      <c r="BR211" s="14">
        <f t="shared" si="21"/>
        <v>1</v>
      </c>
      <c r="CZ211" s="121"/>
    </row>
    <row r="212" spans="66:104" hidden="1">
      <c r="BN212" s="132" t="s">
        <v>460</v>
      </c>
      <c r="BO212" s="133" t="s">
        <v>451</v>
      </c>
      <c r="BP212" s="133" t="s">
        <v>452</v>
      </c>
      <c r="BQ212" s="133" t="s">
        <v>341</v>
      </c>
      <c r="BR212" s="14">
        <f t="shared" si="21"/>
        <v>1</v>
      </c>
      <c r="CZ212" s="121"/>
    </row>
    <row r="213" spans="66:104" hidden="1">
      <c r="BN213" s="132" t="s">
        <v>460</v>
      </c>
      <c r="BO213" s="133" t="s">
        <v>451</v>
      </c>
      <c r="BP213" s="133" t="s">
        <v>452</v>
      </c>
      <c r="BQ213" s="133" t="s">
        <v>352</v>
      </c>
      <c r="BR213" s="14">
        <f t="shared" si="21"/>
        <v>1</v>
      </c>
      <c r="CZ213" s="121"/>
    </row>
    <row r="214" spans="66:104" hidden="1">
      <c r="BN214" s="132" t="s">
        <v>460</v>
      </c>
      <c r="BO214" s="133" t="s">
        <v>451</v>
      </c>
      <c r="BP214" s="133" t="s">
        <v>452</v>
      </c>
      <c r="BQ214" s="133" t="s">
        <v>344</v>
      </c>
      <c r="BR214" s="14">
        <f t="shared" si="21"/>
        <v>1</v>
      </c>
      <c r="CZ214" s="121"/>
    </row>
    <row r="215" spans="66:104" hidden="1">
      <c r="BN215" s="132" t="s">
        <v>460</v>
      </c>
      <c r="BO215" s="133" t="s">
        <v>451</v>
      </c>
      <c r="BP215" s="133" t="s">
        <v>452</v>
      </c>
      <c r="BQ215" s="133" t="s">
        <v>359</v>
      </c>
      <c r="BR215" s="14">
        <f t="shared" si="21"/>
        <v>1</v>
      </c>
      <c r="CZ215" s="121"/>
    </row>
    <row r="216" spans="66:104" hidden="1">
      <c r="BN216" s="132" t="s">
        <v>460</v>
      </c>
      <c r="BO216" s="133" t="s">
        <v>451</v>
      </c>
      <c r="BP216" s="133" t="s">
        <v>452</v>
      </c>
      <c r="BQ216" s="133" t="s">
        <v>370</v>
      </c>
      <c r="BR216" s="14">
        <f t="shared" si="21"/>
        <v>1</v>
      </c>
      <c r="CZ216" s="121"/>
    </row>
    <row r="217" spans="66:104" hidden="1">
      <c r="BN217" s="132" t="s">
        <v>460</v>
      </c>
      <c r="BO217" s="133" t="s">
        <v>453</v>
      </c>
      <c r="BP217" s="133"/>
      <c r="BQ217" s="133" t="s">
        <v>393</v>
      </c>
      <c r="BR217" s="14">
        <f t="shared" si="21"/>
        <v>1</v>
      </c>
      <c r="CZ217" s="121"/>
    </row>
    <row r="218" spans="66:104" hidden="1">
      <c r="BN218" s="132" t="s">
        <v>460</v>
      </c>
      <c r="BO218" s="133" t="s">
        <v>453</v>
      </c>
      <c r="BP218" s="133"/>
      <c r="BQ218" s="133" t="s">
        <v>377</v>
      </c>
      <c r="BR218" s="14">
        <f t="shared" si="21"/>
        <v>1</v>
      </c>
      <c r="CZ218" s="121"/>
    </row>
    <row r="219" spans="66:104" hidden="1">
      <c r="BN219" s="132" t="s">
        <v>460</v>
      </c>
      <c r="BO219" s="133" t="s">
        <v>453</v>
      </c>
      <c r="BP219" s="133"/>
      <c r="BQ219" s="133" t="s">
        <v>402</v>
      </c>
      <c r="BR219" s="14">
        <f t="shared" si="21"/>
        <v>1</v>
      </c>
      <c r="CZ219" s="121"/>
    </row>
    <row r="220" spans="66:104" hidden="1">
      <c r="BN220" s="132" t="s">
        <v>460</v>
      </c>
      <c r="BO220" s="133" t="s">
        <v>453</v>
      </c>
      <c r="BP220" s="133"/>
      <c r="BQ220" s="133" t="s">
        <v>334</v>
      </c>
      <c r="BR220" s="14">
        <f t="shared" si="21"/>
        <v>1</v>
      </c>
      <c r="CZ220" s="121"/>
    </row>
    <row r="221" spans="66:104" hidden="1">
      <c r="BN221" s="132" t="s">
        <v>460</v>
      </c>
      <c r="BO221" s="133" t="s">
        <v>453</v>
      </c>
      <c r="BP221" s="133"/>
      <c r="BQ221" s="133" t="s">
        <v>404</v>
      </c>
      <c r="BR221" s="14">
        <f t="shared" si="21"/>
        <v>1</v>
      </c>
      <c r="CZ221" s="121"/>
    </row>
    <row r="222" spans="66:104" hidden="1">
      <c r="BN222" s="134" t="s">
        <v>459</v>
      </c>
      <c r="BO222" s="135" t="s">
        <v>454</v>
      </c>
      <c r="BP222" s="135" t="s">
        <v>461</v>
      </c>
      <c r="BQ222" s="135" t="s">
        <v>380</v>
      </c>
      <c r="BR222" s="14">
        <f t="shared" ref="BR222:BR229" si="22">COUNTIF(이동연소,BQ222)</f>
        <v>1</v>
      </c>
      <c r="CZ222" s="121"/>
    </row>
    <row r="223" spans="66:104" hidden="1">
      <c r="BN223" s="134" t="s">
        <v>459</v>
      </c>
      <c r="BO223" s="135" t="s">
        <v>454</v>
      </c>
      <c r="BP223" s="135" t="s">
        <v>461</v>
      </c>
      <c r="BQ223" s="135" t="s">
        <v>381</v>
      </c>
      <c r="BR223" s="14">
        <f t="shared" si="22"/>
        <v>1</v>
      </c>
      <c r="CZ223" s="121"/>
    </row>
    <row r="224" spans="66:104" hidden="1">
      <c r="BN224" s="134" t="s">
        <v>460</v>
      </c>
      <c r="BO224" s="135" t="s">
        <v>454</v>
      </c>
      <c r="BP224" s="135" t="s">
        <v>461</v>
      </c>
      <c r="BQ224" s="135" t="s">
        <v>377</v>
      </c>
      <c r="BR224" s="14">
        <f t="shared" si="22"/>
        <v>1</v>
      </c>
      <c r="CZ224" s="121"/>
    </row>
    <row r="225" spans="66:104" hidden="1">
      <c r="BN225" s="134" t="s">
        <v>460</v>
      </c>
      <c r="BO225" s="135" t="s">
        <v>454</v>
      </c>
      <c r="BP225" s="135" t="s">
        <v>461</v>
      </c>
      <c r="BQ225" s="135" t="s">
        <v>254</v>
      </c>
      <c r="BR225" s="14">
        <f t="shared" si="22"/>
        <v>1</v>
      </c>
      <c r="CZ225" s="121"/>
    </row>
    <row r="226" spans="66:104" hidden="1">
      <c r="BN226" s="134" t="s">
        <v>460</v>
      </c>
      <c r="BO226" s="135" t="s">
        <v>454</v>
      </c>
      <c r="BP226" s="135" t="s">
        <v>461</v>
      </c>
      <c r="BQ226" s="135" t="s">
        <v>382</v>
      </c>
      <c r="BR226" s="14">
        <f t="shared" si="22"/>
        <v>1</v>
      </c>
      <c r="CZ226" s="121"/>
    </row>
    <row r="227" spans="66:104" hidden="1">
      <c r="BN227" s="134" t="s">
        <v>460</v>
      </c>
      <c r="BO227" s="135" t="s">
        <v>454</v>
      </c>
      <c r="BP227" s="135" t="s">
        <v>461</v>
      </c>
      <c r="BQ227" s="135" t="s">
        <v>398</v>
      </c>
      <c r="BR227" s="14">
        <f t="shared" si="22"/>
        <v>1</v>
      </c>
      <c r="CZ227" s="121"/>
    </row>
    <row r="228" spans="66:104" hidden="1">
      <c r="BN228" s="134" t="s">
        <v>460</v>
      </c>
      <c r="BO228" s="135" t="s">
        <v>454</v>
      </c>
      <c r="BP228" s="135" t="s">
        <v>461</v>
      </c>
      <c r="BQ228" s="135" t="s">
        <v>359</v>
      </c>
      <c r="BR228" s="14">
        <f t="shared" si="22"/>
        <v>1</v>
      </c>
      <c r="CZ228" s="121"/>
    </row>
    <row r="229" spans="66:104" hidden="1">
      <c r="BN229" s="134" t="s">
        <v>460</v>
      </c>
      <c r="BO229" s="135" t="s">
        <v>454</v>
      </c>
      <c r="BP229" s="135" t="s">
        <v>462</v>
      </c>
      <c r="BQ229" s="135" t="s">
        <v>383</v>
      </c>
      <c r="BR229" s="14">
        <f t="shared" si="22"/>
        <v>1</v>
      </c>
      <c r="CZ229" s="121"/>
    </row>
    <row r="230" spans="66:104" ht="17.25" hidden="1" thickBot="1">
      <c r="BN230" s="16"/>
      <c r="CZ230" s="121"/>
    </row>
    <row r="231" spans="66:104" hidden="1">
      <c r="BN231" s="128" t="s">
        <v>458</v>
      </c>
      <c r="BO231" s="129" t="s">
        <v>453</v>
      </c>
      <c r="BP231" s="129"/>
      <c r="BQ231" s="136" t="s">
        <v>345</v>
      </c>
      <c r="BR231" s="14">
        <f>COUNTIF(고체연료,BQ231)</f>
        <v>1</v>
      </c>
      <c r="BS231" s="583" t="s">
        <v>463</v>
      </c>
      <c r="CZ231" s="121"/>
    </row>
    <row r="232" spans="66:104" hidden="1">
      <c r="BN232" s="128" t="s">
        <v>458</v>
      </c>
      <c r="BO232" s="129" t="s">
        <v>453</v>
      </c>
      <c r="BP232" s="129"/>
      <c r="BQ232" s="137" t="s">
        <v>264</v>
      </c>
      <c r="BR232" s="14">
        <f>COUNTIF(고체연료,BQ232)</f>
        <v>1</v>
      </c>
      <c r="BS232" s="584"/>
      <c r="CZ232" s="121"/>
    </row>
    <row r="233" spans="66:104" hidden="1">
      <c r="BN233" s="128" t="s">
        <v>458</v>
      </c>
      <c r="BO233" s="129" t="s">
        <v>453</v>
      </c>
      <c r="BP233" s="129"/>
      <c r="BQ233" s="137" t="s">
        <v>234</v>
      </c>
      <c r="BR233" s="14">
        <f>COUNTIF(고체연료,BQ233)</f>
        <v>1</v>
      </c>
      <c r="BS233" s="584"/>
      <c r="CZ233" s="121"/>
    </row>
    <row r="234" spans="66:104" hidden="1">
      <c r="BN234" s="128" t="s">
        <v>458</v>
      </c>
      <c r="BO234" s="129" t="s">
        <v>453</v>
      </c>
      <c r="BP234" s="129"/>
      <c r="BQ234" s="137" t="s">
        <v>365</v>
      </c>
      <c r="BR234" s="14">
        <f>COUNTIF(고체연료,BQ234)</f>
        <v>1</v>
      </c>
      <c r="BS234" s="584"/>
      <c r="CZ234" s="121"/>
    </row>
    <row r="235" spans="66:104" hidden="1">
      <c r="BN235" s="130" t="s">
        <v>459</v>
      </c>
      <c r="BO235" s="131" t="s">
        <v>453</v>
      </c>
      <c r="BP235" s="131"/>
      <c r="BQ235" s="138" t="s">
        <v>372</v>
      </c>
      <c r="BR235" s="14">
        <f>COUNTIF(기체연료,BQ235)</f>
        <v>1</v>
      </c>
      <c r="BS235" s="584"/>
      <c r="CZ235" s="121"/>
    </row>
    <row r="236" spans="66:104" hidden="1">
      <c r="BN236" s="130" t="s">
        <v>459</v>
      </c>
      <c r="BO236" s="131" t="s">
        <v>453</v>
      </c>
      <c r="BP236" s="131"/>
      <c r="BQ236" s="138" t="s">
        <v>343</v>
      </c>
      <c r="BR236" s="14">
        <f>COUNTIF(기체연료,BQ236)</f>
        <v>1</v>
      </c>
      <c r="BS236" s="584"/>
      <c r="CZ236" s="121"/>
    </row>
    <row r="237" spans="66:104" hidden="1">
      <c r="BN237" s="130" t="s">
        <v>459</v>
      </c>
      <c r="BO237" s="131" t="s">
        <v>453</v>
      </c>
      <c r="BP237" s="131"/>
      <c r="BQ237" s="139" t="s">
        <v>304</v>
      </c>
      <c r="BR237" s="14">
        <f>COUNTIF(기체연료,BQ237)</f>
        <v>1</v>
      </c>
      <c r="BS237" s="584"/>
      <c r="CZ237" s="121"/>
    </row>
    <row r="238" spans="66:104" hidden="1">
      <c r="BN238" s="130" t="s">
        <v>459</v>
      </c>
      <c r="BO238" s="131" t="s">
        <v>453</v>
      </c>
      <c r="BP238" s="131"/>
      <c r="BQ238" s="139" t="s">
        <v>237</v>
      </c>
      <c r="BR238" s="14">
        <f>COUNTIF(기체연료,BQ238)</f>
        <v>1</v>
      </c>
      <c r="BS238" s="584"/>
      <c r="CZ238" s="121"/>
    </row>
    <row r="239" spans="66:104" hidden="1">
      <c r="BN239" s="130" t="s">
        <v>459</v>
      </c>
      <c r="BO239" s="131" t="s">
        <v>453</v>
      </c>
      <c r="BP239" s="131"/>
      <c r="BQ239" s="139" t="s">
        <v>310</v>
      </c>
      <c r="BR239" s="14">
        <f>COUNTIF(기체연료,BQ239)</f>
        <v>1</v>
      </c>
      <c r="BS239" s="584"/>
      <c r="CZ239" s="121"/>
    </row>
    <row r="240" spans="66:104" hidden="1">
      <c r="BN240" s="132" t="s">
        <v>460</v>
      </c>
      <c r="BO240" s="133" t="s">
        <v>453</v>
      </c>
      <c r="BP240" s="133"/>
      <c r="BQ240" s="140" t="s">
        <v>398</v>
      </c>
      <c r="BR240" s="14">
        <f t="shared" ref="BR240:BR247" si="23">COUNTIF(액체연료,BQ240)</f>
        <v>1</v>
      </c>
      <c r="BS240" s="584"/>
      <c r="CZ240" s="121"/>
    </row>
    <row r="241" spans="66:104" hidden="1">
      <c r="BN241" s="132" t="s">
        <v>460</v>
      </c>
      <c r="BO241" s="133" t="s">
        <v>453</v>
      </c>
      <c r="BP241" s="133"/>
      <c r="BQ241" s="141" t="s">
        <v>254</v>
      </c>
      <c r="BR241" s="14">
        <f t="shared" si="23"/>
        <v>1</v>
      </c>
      <c r="BS241" s="584"/>
      <c r="CZ241" s="121"/>
    </row>
    <row r="242" spans="66:104" hidden="1">
      <c r="BN242" s="132" t="s">
        <v>460</v>
      </c>
      <c r="BO242" s="133" t="s">
        <v>453</v>
      </c>
      <c r="BP242" s="133"/>
      <c r="BQ242" s="141" t="s">
        <v>205</v>
      </c>
      <c r="BR242" s="14">
        <f t="shared" si="23"/>
        <v>1</v>
      </c>
      <c r="BS242" s="584"/>
      <c r="CZ242" s="121"/>
    </row>
    <row r="243" spans="66:104" hidden="1">
      <c r="BN243" s="132" t="s">
        <v>460</v>
      </c>
      <c r="BO243" s="133" t="s">
        <v>453</v>
      </c>
      <c r="BP243" s="133"/>
      <c r="BQ243" s="141" t="s">
        <v>218</v>
      </c>
      <c r="BR243" s="14">
        <f t="shared" si="23"/>
        <v>1</v>
      </c>
      <c r="BS243" s="584"/>
      <c r="CZ243" s="121"/>
    </row>
    <row r="244" spans="66:104" hidden="1">
      <c r="BN244" s="132" t="s">
        <v>460</v>
      </c>
      <c r="BO244" s="133" t="s">
        <v>453</v>
      </c>
      <c r="BP244" s="133"/>
      <c r="BQ244" s="141" t="s">
        <v>227</v>
      </c>
      <c r="BR244" s="14">
        <f t="shared" si="23"/>
        <v>1</v>
      </c>
      <c r="BS244" s="584"/>
      <c r="CZ244" s="121"/>
    </row>
    <row r="245" spans="66:104" hidden="1">
      <c r="BN245" s="132" t="s">
        <v>460</v>
      </c>
      <c r="BO245" s="133" t="s">
        <v>453</v>
      </c>
      <c r="BP245" s="133"/>
      <c r="BQ245" s="141" t="s">
        <v>359</v>
      </c>
      <c r="BR245" s="14">
        <f t="shared" si="23"/>
        <v>1</v>
      </c>
      <c r="BS245" s="584"/>
      <c r="CZ245" s="121"/>
    </row>
    <row r="246" spans="66:104" hidden="1">
      <c r="BN246" s="132" t="s">
        <v>460</v>
      </c>
      <c r="BO246" s="133" t="s">
        <v>453</v>
      </c>
      <c r="BP246" s="133"/>
      <c r="BQ246" s="140" t="s">
        <v>339</v>
      </c>
      <c r="BR246" s="14">
        <f t="shared" si="23"/>
        <v>1</v>
      </c>
      <c r="BS246" s="584"/>
      <c r="CZ246" s="121"/>
    </row>
    <row r="247" spans="66:104" ht="17.25" hidden="1" thickBot="1">
      <c r="BN247" s="132" t="s">
        <v>460</v>
      </c>
      <c r="BO247" s="133" t="s">
        <v>453</v>
      </c>
      <c r="BP247" s="133"/>
      <c r="BQ247" s="141" t="s">
        <v>341</v>
      </c>
      <c r="BR247" s="14">
        <f t="shared" si="23"/>
        <v>1</v>
      </c>
      <c r="BS247" s="585"/>
      <c r="CZ247" s="121"/>
    </row>
    <row r="248" spans="66:104" hidden="1">
      <c r="BN248" s="16"/>
      <c r="CZ248" s="121"/>
    </row>
    <row r="249" spans="66:104" ht="17.25" hidden="1" thickBot="1">
      <c r="BN249" s="142"/>
      <c r="BO249" s="143"/>
      <c r="BP249" s="143"/>
      <c r="BQ249" s="143"/>
      <c r="BR249" s="143"/>
      <c r="BS249" s="143"/>
      <c r="BT249" s="143"/>
      <c r="BU249" s="143"/>
      <c r="BV249" s="143"/>
      <c r="BW249" s="143"/>
      <c r="BX249" s="143"/>
      <c r="BY249" s="143"/>
      <c r="BZ249" s="143"/>
      <c r="CA249" s="143"/>
      <c r="CB249" s="143"/>
      <c r="CC249" s="143"/>
      <c r="CD249" s="143"/>
      <c r="CE249" s="143"/>
      <c r="CF249" s="143"/>
      <c r="CG249" s="143"/>
      <c r="CH249" s="143"/>
      <c r="CI249" s="143"/>
      <c r="CJ249" s="143"/>
      <c r="CK249" s="143"/>
      <c r="CL249" s="143"/>
      <c r="CM249" s="143"/>
      <c r="CN249" s="143"/>
      <c r="CO249" s="143"/>
      <c r="CP249" s="143"/>
      <c r="CQ249" s="143"/>
      <c r="CR249" s="143"/>
      <c r="CS249" s="143"/>
      <c r="CT249" s="143"/>
      <c r="CU249" s="143"/>
      <c r="CV249" s="143"/>
      <c r="CW249" s="143"/>
      <c r="CX249" s="143"/>
      <c r="CY249" s="143"/>
      <c r="CZ249" s="144"/>
    </row>
    <row r="250" spans="66:104" ht="17.25" hidden="1" thickTop="1"/>
  </sheetData>
  <mergeCells count="14">
    <mergeCell ref="BO67:BO95"/>
    <mergeCell ref="BS231:BS247"/>
    <mergeCell ref="BN1:CZ2"/>
    <mergeCell ref="BT6:BU6"/>
    <mergeCell ref="CC6:CF6"/>
    <mergeCell ref="CG6:CH6"/>
    <mergeCell ref="BO8:BO56"/>
    <mergeCell ref="BO57:BO66"/>
    <mergeCell ref="C41:C42"/>
    <mergeCell ref="D41:F42"/>
    <mergeCell ref="D38:F39"/>
    <mergeCell ref="B20:I20"/>
    <mergeCell ref="B21:I30"/>
    <mergeCell ref="D35:H36"/>
  </mergeCells>
  <phoneticPr fontId="2" type="noConversion"/>
  <dataValidations count="6">
    <dataValidation type="list" allowBlank="1" showInputMessage="1" showErrorMessage="1" sqref="Q8:Q35" xr:uid="{00000000-0002-0000-0400-000000000000}">
      <formula1>INDIRECT(LEFT($O8,4))</formula1>
    </dataValidation>
    <dataValidation type="list" allowBlank="1" showInputMessage="1" showErrorMessage="1" sqref="O8:O35 AI9:AI35" xr:uid="{00000000-0002-0000-0400-000001000000}">
      <formula1>"고체연료연소,기체연료연소,액체연료연소,이동연소,간접배출"</formula1>
    </dataValidation>
    <dataValidation type="list" allowBlank="1" showInputMessage="1" showErrorMessage="1" sqref="AK9:AK35" xr:uid="{00000000-0002-0000-0400-000002000000}">
      <formula1>INDIRECT(LEFT($AI9,4))</formula1>
    </dataValidation>
    <dataValidation type="list" allowBlank="1" showInputMessage="1" showErrorMessage="1" sqref="T8" xr:uid="{00000000-0002-0000-0400-000003000000}">
      <formula1>$CV$8:$CV$31</formula1>
    </dataValidation>
    <dataValidation type="list" allowBlank="1" showInputMessage="1" showErrorMessage="1" sqref="Q1 D8" xr:uid="{00000000-0002-0000-0400-000004000000}">
      <formula1>$CP$25:$CP$28</formula1>
    </dataValidation>
    <dataValidation type="list" allowBlank="1" showInputMessage="1" showErrorMessage="1" sqref="T9:T35 AN9:AN35" xr:uid="{00000000-0002-0000-0400-000005000000}">
      <formula1>IF(O9="간접배출",IF(Q9="전력",INDIRECT(Q9),INDIRECT("열")),IF(O9&lt;&gt;"이동연소",INDIRECT(O9),$CV$13:$CV$17))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U32"/>
  <sheetViews>
    <sheetView zoomScale="85" zoomScaleNormal="85" workbookViewId="0">
      <selection activeCell="N32" sqref="N32"/>
    </sheetView>
  </sheetViews>
  <sheetFormatPr defaultRowHeight="16.5"/>
  <cols>
    <col min="1" max="1" width="3.875" customWidth="1"/>
    <col min="2" max="2" width="26.5" bestFit="1" customWidth="1"/>
    <col min="3" max="3" width="13.875" customWidth="1"/>
    <col min="4" max="4" width="14.875" customWidth="1"/>
    <col min="5" max="6" width="19.875" customWidth="1"/>
    <col min="7" max="7" width="12.875" bestFit="1" customWidth="1"/>
    <col min="9" max="9" width="16.875" bestFit="1" customWidth="1"/>
    <col min="10" max="10" width="11.5" customWidth="1"/>
    <col min="15" max="15" width="11" customWidth="1"/>
    <col min="16" max="17" width="10.25" customWidth="1"/>
    <col min="21" max="21" width="11.625" customWidth="1"/>
  </cols>
  <sheetData>
    <row r="1" spans="2:21" ht="21" thickBot="1">
      <c r="B1" s="10"/>
      <c r="C1" s="10"/>
      <c r="D1" s="10"/>
      <c r="E1" s="10"/>
      <c r="F1" s="10"/>
      <c r="G1" s="10"/>
      <c r="I1" s="145" t="s">
        <v>464</v>
      </c>
      <c r="J1" s="302">
        <v>9350</v>
      </c>
      <c r="K1" s="303" t="s">
        <v>465</v>
      </c>
      <c r="L1" s="301" t="s">
        <v>694</v>
      </c>
    </row>
    <row r="2" spans="2:21">
      <c r="B2" s="10"/>
      <c r="C2" s="10"/>
      <c r="D2" s="10"/>
      <c r="E2" s="10"/>
      <c r="F2" s="10"/>
      <c r="G2" s="10"/>
    </row>
    <row r="3" spans="2:21" ht="20.25">
      <c r="B3" s="15" t="s">
        <v>466</v>
      </c>
      <c r="C3" s="10"/>
      <c r="D3" s="10"/>
      <c r="E3" s="10"/>
      <c r="F3" s="10"/>
      <c r="G3" s="10"/>
      <c r="I3" s="15" t="s">
        <v>467</v>
      </c>
    </row>
    <row r="4" spans="2:21" ht="17.25" thickBot="1">
      <c r="B4" s="11" t="s">
        <v>468</v>
      </c>
      <c r="C4" s="10"/>
      <c r="D4" s="10"/>
      <c r="E4" s="10"/>
      <c r="F4" s="10"/>
      <c r="G4" s="10"/>
      <c r="I4" s="11" t="s">
        <v>469</v>
      </c>
    </row>
    <row r="5" spans="2:21">
      <c r="B5" s="24"/>
      <c r="C5" s="23" t="s">
        <v>470</v>
      </c>
      <c r="D5" s="24"/>
      <c r="E5" s="24"/>
      <c r="F5" s="24"/>
      <c r="G5" s="24"/>
      <c r="I5" s="568" t="s">
        <v>476</v>
      </c>
      <c r="J5" s="192" t="s">
        <v>477</v>
      </c>
      <c r="K5" s="192"/>
      <c r="L5" s="192"/>
      <c r="M5" s="193"/>
      <c r="N5" s="193"/>
      <c r="O5" s="193"/>
      <c r="P5" s="194" t="s">
        <v>478</v>
      </c>
      <c r="Q5" s="195"/>
      <c r="R5" s="196"/>
      <c r="S5" s="195"/>
      <c r="T5" s="195"/>
      <c r="U5" s="197"/>
    </row>
    <row r="6" spans="2:21" ht="22.5">
      <c r="B6" s="146"/>
      <c r="C6" s="31" t="s">
        <v>471</v>
      </c>
      <c r="D6" s="147" t="s">
        <v>472</v>
      </c>
      <c r="E6" s="147" t="s">
        <v>473</v>
      </c>
      <c r="F6" s="147" t="s">
        <v>474</v>
      </c>
      <c r="G6" s="32" t="s">
        <v>475</v>
      </c>
      <c r="I6" s="569"/>
      <c r="J6" s="52" t="s">
        <v>484</v>
      </c>
      <c r="K6" s="149" t="s">
        <v>485</v>
      </c>
      <c r="L6" s="149" t="s">
        <v>486</v>
      </c>
      <c r="M6" s="149" t="s">
        <v>487</v>
      </c>
      <c r="N6" s="149" t="s">
        <v>488</v>
      </c>
      <c r="O6" s="149" t="s">
        <v>489</v>
      </c>
      <c r="P6" s="55" t="s">
        <v>484</v>
      </c>
      <c r="Q6" s="55" t="s">
        <v>490</v>
      </c>
      <c r="R6" s="55" t="s">
        <v>486</v>
      </c>
      <c r="S6" s="55" t="s">
        <v>487</v>
      </c>
      <c r="T6" s="55" t="s">
        <v>491</v>
      </c>
      <c r="U6" s="198" t="s">
        <v>489</v>
      </c>
    </row>
    <row r="7" spans="2:21" ht="22.5">
      <c r="B7" s="32" t="s">
        <v>122</v>
      </c>
      <c r="C7" s="51" t="s">
        <v>479</v>
      </c>
      <c r="D7" s="148" t="s">
        <v>480</v>
      </c>
      <c r="E7" s="148" t="s">
        <v>481</v>
      </c>
      <c r="F7" s="148" t="s">
        <v>482</v>
      </c>
      <c r="G7" s="52" t="s">
        <v>483</v>
      </c>
      <c r="I7" s="232">
        <f>SUM(I8:I1048576)</f>
        <v>2500000</v>
      </c>
      <c r="J7" s="256"/>
      <c r="K7" s="256"/>
      <c r="L7" s="256"/>
      <c r="M7" s="256"/>
      <c r="N7" s="256"/>
      <c r="O7" s="233">
        <f>SUM(O8:O99)</f>
        <v>5000000</v>
      </c>
      <c r="P7" s="256"/>
      <c r="Q7" s="256"/>
      <c r="R7" s="256"/>
      <c r="S7" s="256"/>
      <c r="T7" s="256"/>
      <c r="U7" s="234">
        <f>SUM(U8:U99)</f>
        <v>2500000</v>
      </c>
    </row>
    <row r="8" spans="2:21">
      <c r="B8" s="212">
        <v>0</v>
      </c>
      <c r="C8" s="171">
        <f>'&lt;산정tool&gt;보조금'!C7</f>
        <v>20030000000</v>
      </c>
      <c r="D8" s="172">
        <f>SUM(E8:F8)</f>
        <v>331563900</v>
      </c>
      <c r="E8" s="172">
        <f>I7</f>
        <v>2500000</v>
      </c>
      <c r="F8" s="172">
        <f>'&lt;산정tool&gt;배출량,감축량'!$H$8*배출권가격</f>
        <v>329063900</v>
      </c>
      <c r="G8" s="173">
        <f>IF(AND(C8&lt;&gt;0,D8&lt;&gt;0),ROUND(C8/D8,1),"")</f>
        <v>60.4</v>
      </c>
      <c r="I8" s="185">
        <f>O8-U8</f>
        <v>500000</v>
      </c>
      <c r="J8" s="632" t="s">
        <v>264</v>
      </c>
      <c r="K8" s="633">
        <v>1000</v>
      </c>
      <c r="L8" s="633" t="s">
        <v>235</v>
      </c>
      <c r="M8" s="633">
        <v>1000</v>
      </c>
      <c r="N8" s="298" t="str">
        <f>IF(J8&lt;&gt;"","원/"&amp;L8,"")</f>
        <v>원/ton</v>
      </c>
      <c r="O8" s="186">
        <f>K8*M8</f>
        <v>1000000</v>
      </c>
      <c r="P8" s="632" t="s">
        <v>264</v>
      </c>
      <c r="Q8" s="633">
        <v>500</v>
      </c>
      <c r="R8" s="633" t="s">
        <v>235</v>
      </c>
      <c r="S8" s="633">
        <v>1000</v>
      </c>
      <c r="T8" s="298" t="str">
        <f>IF(P8&lt;&gt;"","원/"&amp;R8,"")</f>
        <v>원/ton</v>
      </c>
      <c r="U8" s="199">
        <f>Q8*S8</f>
        <v>500000</v>
      </c>
    </row>
    <row r="9" spans="2:21">
      <c r="I9" s="174">
        <f t="shared" ref="I9:I26" si="0">O9-U9</f>
        <v>500000</v>
      </c>
      <c r="J9" s="634" t="s">
        <v>237</v>
      </c>
      <c r="K9" s="633">
        <v>1000</v>
      </c>
      <c r="L9" s="633" t="s">
        <v>238</v>
      </c>
      <c r="M9" s="635">
        <v>1000</v>
      </c>
      <c r="N9" s="299" t="str">
        <f t="shared" ref="N9:N26" si="1">IF(J9&lt;&gt;"","원/"&amp;L9,"")</f>
        <v>원/천 ㎥</v>
      </c>
      <c r="O9" s="176">
        <f>K9*M9</f>
        <v>1000000</v>
      </c>
      <c r="P9" s="634" t="s">
        <v>237</v>
      </c>
      <c r="Q9" s="633">
        <v>500</v>
      </c>
      <c r="R9" s="633" t="s">
        <v>238</v>
      </c>
      <c r="S9" s="635">
        <v>1000</v>
      </c>
      <c r="T9" s="299" t="str">
        <f t="shared" ref="T9:T26" si="2">IF(P9&lt;&gt;"","원/"&amp;R9,"")</f>
        <v>원/천 ㎥</v>
      </c>
      <c r="U9" s="200">
        <f>Q9*S9</f>
        <v>500000</v>
      </c>
    </row>
    <row r="10" spans="2:21">
      <c r="I10" s="174">
        <f t="shared" si="0"/>
        <v>500000</v>
      </c>
      <c r="J10" s="634" t="s">
        <v>227</v>
      </c>
      <c r="K10" s="633">
        <v>1000</v>
      </c>
      <c r="L10" s="633" t="s">
        <v>268</v>
      </c>
      <c r="M10" s="635">
        <v>1000</v>
      </c>
      <c r="N10" s="299" t="str">
        <f t="shared" si="1"/>
        <v>원/㎘</v>
      </c>
      <c r="O10" s="176">
        <f>K10*M10</f>
        <v>1000000</v>
      </c>
      <c r="P10" s="634" t="s">
        <v>227</v>
      </c>
      <c r="Q10" s="633">
        <v>500</v>
      </c>
      <c r="R10" s="633" t="s">
        <v>268</v>
      </c>
      <c r="S10" s="635">
        <v>1000</v>
      </c>
      <c r="T10" s="299" t="str">
        <f t="shared" si="2"/>
        <v>원/㎘</v>
      </c>
      <c r="U10" s="200">
        <f>Q10*S10</f>
        <v>500000</v>
      </c>
    </row>
    <row r="11" spans="2:21" ht="17.25" thickBot="1">
      <c r="I11" s="174">
        <f t="shared" si="0"/>
        <v>500000</v>
      </c>
      <c r="J11" s="634" t="s">
        <v>456</v>
      </c>
      <c r="K11" s="633">
        <v>1000</v>
      </c>
      <c r="L11" s="633" t="s">
        <v>213</v>
      </c>
      <c r="M11" s="635">
        <v>1000</v>
      </c>
      <c r="N11" s="299" t="str">
        <f t="shared" si="1"/>
        <v>원/MWh</v>
      </c>
      <c r="O11" s="176">
        <f t="shared" ref="O11:O26" si="3">K11*M11</f>
        <v>1000000</v>
      </c>
      <c r="P11" s="634" t="s">
        <v>456</v>
      </c>
      <c r="Q11" s="633">
        <v>500</v>
      </c>
      <c r="R11" s="633" t="s">
        <v>213</v>
      </c>
      <c r="S11" s="635">
        <v>1000</v>
      </c>
      <c r="T11" s="299" t="str">
        <f t="shared" si="2"/>
        <v>원/MWh</v>
      </c>
      <c r="U11" s="200">
        <f>Q11*S11</f>
        <v>500000</v>
      </c>
    </row>
    <row r="12" spans="2:21" ht="16.5" customHeight="1">
      <c r="B12" s="558" t="s">
        <v>641</v>
      </c>
      <c r="C12" s="559"/>
      <c r="D12" s="559"/>
      <c r="E12" s="559"/>
      <c r="F12" s="559"/>
      <c r="G12" s="560"/>
      <c r="I12" s="174">
        <f t="shared" si="0"/>
        <v>500000</v>
      </c>
      <c r="J12" s="634" t="s">
        <v>381</v>
      </c>
      <c r="K12" s="633">
        <v>1000</v>
      </c>
      <c r="L12" s="633" t="s">
        <v>268</v>
      </c>
      <c r="M12" s="635">
        <v>1000</v>
      </c>
      <c r="N12" s="299" t="str">
        <f t="shared" si="1"/>
        <v>원/㎘</v>
      </c>
      <c r="O12" s="176">
        <f t="shared" si="3"/>
        <v>1000000</v>
      </c>
      <c r="P12" s="634" t="s">
        <v>381</v>
      </c>
      <c r="Q12" s="633">
        <v>500</v>
      </c>
      <c r="R12" s="633" t="s">
        <v>268</v>
      </c>
      <c r="S12" s="635">
        <v>1000</v>
      </c>
      <c r="T12" s="299" t="str">
        <f t="shared" si="2"/>
        <v>원/㎘</v>
      </c>
      <c r="U12" s="200">
        <f t="shared" ref="U12:U26" si="4">Q12*S12</f>
        <v>500000</v>
      </c>
    </row>
    <row r="13" spans="2:21">
      <c r="B13" s="535" t="s">
        <v>665</v>
      </c>
      <c r="C13" s="536"/>
      <c r="D13" s="536"/>
      <c r="E13" s="536"/>
      <c r="F13" s="536"/>
      <c r="G13" s="537"/>
      <c r="I13" s="174">
        <f t="shared" si="0"/>
        <v>0</v>
      </c>
      <c r="J13" s="214"/>
      <c r="K13" s="215"/>
      <c r="L13" s="213"/>
      <c r="M13" s="215"/>
      <c r="N13" s="299" t="str">
        <f t="shared" si="1"/>
        <v/>
      </c>
      <c r="O13" s="176">
        <f t="shared" si="3"/>
        <v>0</v>
      </c>
      <c r="P13" s="214"/>
      <c r="Q13" s="215"/>
      <c r="R13" s="213"/>
      <c r="S13" s="215"/>
      <c r="T13" s="299" t="str">
        <f t="shared" si="2"/>
        <v/>
      </c>
      <c r="U13" s="200">
        <f t="shared" si="4"/>
        <v>0</v>
      </c>
    </row>
    <row r="14" spans="2:21">
      <c r="B14" s="538"/>
      <c r="C14" s="539"/>
      <c r="D14" s="539"/>
      <c r="E14" s="539"/>
      <c r="F14" s="539"/>
      <c r="G14" s="540"/>
      <c r="I14" s="174">
        <f t="shared" si="0"/>
        <v>0</v>
      </c>
      <c r="J14" s="214"/>
      <c r="K14" s="215"/>
      <c r="L14" s="213"/>
      <c r="M14" s="215"/>
      <c r="N14" s="299" t="str">
        <f t="shared" si="1"/>
        <v/>
      </c>
      <c r="O14" s="176">
        <f t="shared" si="3"/>
        <v>0</v>
      </c>
      <c r="P14" s="214"/>
      <c r="Q14" s="215"/>
      <c r="R14" s="213"/>
      <c r="S14" s="215"/>
      <c r="T14" s="299" t="str">
        <f t="shared" si="2"/>
        <v/>
      </c>
      <c r="U14" s="200">
        <f t="shared" si="4"/>
        <v>0</v>
      </c>
    </row>
    <row r="15" spans="2:21">
      <c r="B15" s="538"/>
      <c r="C15" s="539"/>
      <c r="D15" s="539"/>
      <c r="E15" s="539"/>
      <c r="F15" s="539"/>
      <c r="G15" s="540"/>
      <c r="I15" s="174">
        <f t="shared" si="0"/>
        <v>0</v>
      </c>
      <c r="J15" s="214"/>
      <c r="K15" s="215"/>
      <c r="L15" s="213"/>
      <c r="M15" s="215"/>
      <c r="N15" s="299" t="str">
        <f t="shared" si="1"/>
        <v/>
      </c>
      <c r="O15" s="176">
        <f t="shared" si="3"/>
        <v>0</v>
      </c>
      <c r="P15" s="214"/>
      <c r="Q15" s="215"/>
      <c r="R15" s="213"/>
      <c r="S15" s="215"/>
      <c r="T15" s="299" t="str">
        <f t="shared" si="2"/>
        <v/>
      </c>
      <c r="U15" s="200">
        <f t="shared" si="4"/>
        <v>0</v>
      </c>
    </row>
    <row r="16" spans="2:21">
      <c r="B16" s="538"/>
      <c r="C16" s="539"/>
      <c r="D16" s="539"/>
      <c r="E16" s="539"/>
      <c r="F16" s="539"/>
      <c r="G16" s="540"/>
      <c r="I16" s="174">
        <f t="shared" si="0"/>
        <v>0</v>
      </c>
      <c r="J16" s="214"/>
      <c r="K16" s="215"/>
      <c r="L16" s="213"/>
      <c r="M16" s="215"/>
      <c r="N16" s="299" t="str">
        <f t="shared" si="1"/>
        <v/>
      </c>
      <c r="O16" s="176">
        <f t="shared" si="3"/>
        <v>0</v>
      </c>
      <c r="P16" s="214"/>
      <c r="Q16" s="215"/>
      <c r="R16" s="213"/>
      <c r="S16" s="215"/>
      <c r="T16" s="299" t="str">
        <f t="shared" si="2"/>
        <v/>
      </c>
      <c r="U16" s="200">
        <f t="shared" si="4"/>
        <v>0</v>
      </c>
    </row>
    <row r="17" spans="2:21">
      <c r="B17" s="538"/>
      <c r="C17" s="539"/>
      <c r="D17" s="539"/>
      <c r="E17" s="539"/>
      <c r="F17" s="539"/>
      <c r="G17" s="540"/>
      <c r="I17" s="174">
        <f t="shared" si="0"/>
        <v>0</v>
      </c>
      <c r="J17" s="214"/>
      <c r="K17" s="215"/>
      <c r="L17" s="213"/>
      <c r="M17" s="215"/>
      <c r="N17" s="299" t="str">
        <f t="shared" si="1"/>
        <v/>
      </c>
      <c r="O17" s="176">
        <f t="shared" si="3"/>
        <v>0</v>
      </c>
      <c r="P17" s="214"/>
      <c r="Q17" s="215"/>
      <c r="R17" s="213"/>
      <c r="S17" s="215"/>
      <c r="T17" s="299" t="str">
        <f t="shared" si="2"/>
        <v/>
      </c>
      <c r="U17" s="200">
        <f t="shared" si="4"/>
        <v>0</v>
      </c>
    </row>
    <row r="18" spans="2:21" ht="17.25" thickBot="1">
      <c r="B18" s="541"/>
      <c r="C18" s="542"/>
      <c r="D18" s="542"/>
      <c r="E18" s="542"/>
      <c r="F18" s="542"/>
      <c r="G18" s="543"/>
      <c r="I18" s="174">
        <f t="shared" si="0"/>
        <v>0</v>
      </c>
      <c r="J18" s="214"/>
      <c r="K18" s="215"/>
      <c r="L18" s="213"/>
      <c r="M18" s="215"/>
      <c r="N18" s="299" t="str">
        <f t="shared" si="1"/>
        <v/>
      </c>
      <c r="O18" s="176">
        <f t="shared" si="3"/>
        <v>0</v>
      </c>
      <c r="P18" s="214"/>
      <c r="Q18" s="215"/>
      <c r="R18" s="213"/>
      <c r="S18" s="215"/>
      <c r="T18" s="299" t="str">
        <f t="shared" si="2"/>
        <v/>
      </c>
      <c r="U18" s="200">
        <f t="shared" si="4"/>
        <v>0</v>
      </c>
    </row>
    <row r="19" spans="2:21">
      <c r="I19" s="174">
        <f t="shared" si="0"/>
        <v>0</v>
      </c>
      <c r="J19" s="214"/>
      <c r="K19" s="215"/>
      <c r="L19" s="213"/>
      <c r="M19" s="215"/>
      <c r="N19" s="299" t="str">
        <f t="shared" si="1"/>
        <v/>
      </c>
      <c r="O19" s="176">
        <f t="shared" si="3"/>
        <v>0</v>
      </c>
      <c r="P19" s="214"/>
      <c r="Q19" s="215"/>
      <c r="R19" s="213"/>
      <c r="S19" s="215"/>
      <c r="T19" s="299" t="str">
        <f t="shared" si="2"/>
        <v/>
      </c>
      <c r="U19" s="200">
        <f t="shared" si="4"/>
        <v>0</v>
      </c>
    </row>
    <row r="20" spans="2:21">
      <c r="B20" s="284"/>
      <c r="C20" s="598" t="s">
        <v>826</v>
      </c>
      <c r="D20" s="599"/>
      <c r="E20" s="600"/>
      <c r="I20" s="174">
        <f t="shared" si="0"/>
        <v>0</v>
      </c>
      <c r="J20" s="214"/>
      <c r="K20" s="215"/>
      <c r="L20" s="213"/>
      <c r="M20" s="215"/>
      <c r="N20" s="299" t="str">
        <f t="shared" si="1"/>
        <v/>
      </c>
      <c r="O20" s="176">
        <f t="shared" si="3"/>
        <v>0</v>
      </c>
      <c r="P20" s="214"/>
      <c r="Q20" s="215"/>
      <c r="R20" s="213"/>
      <c r="S20" s="215"/>
      <c r="T20" s="299" t="str">
        <f t="shared" si="2"/>
        <v/>
      </c>
      <c r="U20" s="200">
        <f t="shared" si="4"/>
        <v>0</v>
      </c>
    </row>
    <row r="21" spans="2:21">
      <c r="B21" s="285"/>
      <c r="C21" s="598"/>
      <c r="D21" s="599"/>
      <c r="E21" s="600"/>
      <c r="I21" s="174">
        <f t="shared" si="0"/>
        <v>0</v>
      </c>
      <c r="J21" s="214"/>
      <c r="K21" s="215"/>
      <c r="L21" s="213"/>
      <c r="M21" s="215"/>
      <c r="N21" s="299" t="str">
        <f t="shared" si="1"/>
        <v/>
      </c>
      <c r="O21" s="176">
        <f t="shared" si="3"/>
        <v>0</v>
      </c>
      <c r="P21" s="214"/>
      <c r="Q21" s="215"/>
      <c r="R21" s="213"/>
      <c r="S21" s="215"/>
      <c r="T21" s="299" t="str">
        <f t="shared" si="2"/>
        <v/>
      </c>
      <c r="U21" s="200">
        <f t="shared" si="4"/>
        <v>0</v>
      </c>
    </row>
    <row r="22" spans="2:21" ht="22.5" customHeight="1">
      <c r="B22" s="153"/>
      <c r="C22" s="291"/>
      <c r="D22" s="292"/>
      <c r="E22" s="293"/>
      <c r="I22" s="174">
        <f t="shared" si="0"/>
        <v>0</v>
      </c>
      <c r="J22" s="214"/>
      <c r="K22" s="215"/>
      <c r="L22" s="213"/>
      <c r="M22" s="215"/>
      <c r="N22" s="299" t="str">
        <f t="shared" si="1"/>
        <v/>
      </c>
      <c r="O22" s="176">
        <f t="shared" si="3"/>
        <v>0</v>
      </c>
      <c r="P22" s="214"/>
      <c r="Q22" s="215"/>
      <c r="R22" s="213"/>
      <c r="S22" s="215"/>
      <c r="T22" s="299" t="str">
        <f t="shared" si="2"/>
        <v/>
      </c>
      <c r="U22" s="200">
        <f t="shared" si="4"/>
        <v>0</v>
      </c>
    </row>
    <row r="23" spans="2:21">
      <c r="B23" s="288"/>
      <c r="C23" s="598" t="s">
        <v>688</v>
      </c>
      <c r="D23" s="599"/>
      <c r="E23" s="600"/>
      <c r="F23" s="235"/>
      <c r="I23" s="174">
        <f t="shared" si="0"/>
        <v>0</v>
      </c>
      <c r="J23" s="214"/>
      <c r="K23" s="215"/>
      <c r="L23" s="213"/>
      <c r="M23" s="215"/>
      <c r="N23" s="299" t="str">
        <f t="shared" si="1"/>
        <v/>
      </c>
      <c r="O23" s="176">
        <f t="shared" si="3"/>
        <v>0</v>
      </c>
      <c r="P23" s="214"/>
      <c r="Q23" s="215"/>
      <c r="R23" s="213"/>
      <c r="S23" s="215"/>
      <c r="T23" s="299" t="str">
        <f t="shared" si="2"/>
        <v/>
      </c>
      <c r="U23" s="200">
        <f t="shared" si="4"/>
        <v>0</v>
      </c>
    </row>
    <row r="24" spans="2:21">
      <c r="B24" s="289"/>
      <c r="C24" s="598"/>
      <c r="D24" s="599"/>
      <c r="E24" s="600"/>
      <c r="I24" s="174">
        <f t="shared" si="0"/>
        <v>0</v>
      </c>
      <c r="J24" s="214"/>
      <c r="K24" s="215"/>
      <c r="L24" s="213"/>
      <c r="M24" s="215"/>
      <c r="N24" s="299" t="str">
        <f t="shared" si="1"/>
        <v/>
      </c>
      <c r="O24" s="176">
        <f t="shared" si="3"/>
        <v>0</v>
      </c>
      <c r="P24" s="214"/>
      <c r="Q24" s="215"/>
      <c r="R24" s="213"/>
      <c r="S24" s="215"/>
      <c r="T24" s="299" t="str">
        <f t="shared" si="2"/>
        <v/>
      </c>
      <c r="U24" s="200">
        <f t="shared" si="4"/>
        <v>0</v>
      </c>
    </row>
    <row r="25" spans="2:21" ht="21" customHeight="1">
      <c r="C25" s="292"/>
      <c r="D25" s="292"/>
      <c r="E25" s="293"/>
      <c r="I25" s="174">
        <f t="shared" si="0"/>
        <v>0</v>
      </c>
      <c r="J25" s="214"/>
      <c r="K25" s="215"/>
      <c r="L25" s="213"/>
      <c r="M25" s="215"/>
      <c r="N25" s="299" t="str">
        <f t="shared" si="1"/>
        <v/>
      </c>
      <c r="O25" s="176">
        <f t="shared" si="3"/>
        <v>0</v>
      </c>
      <c r="P25" s="214"/>
      <c r="Q25" s="215"/>
      <c r="R25" s="213"/>
      <c r="S25" s="215"/>
      <c r="T25" s="299" t="str">
        <f t="shared" si="2"/>
        <v/>
      </c>
      <c r="U25" s="200">
        <f t="shared" si="4"/>
        <v>0</v>
      </c>
    </row>
    <row r="26" spans="2:21" ht="17.25" thickBot="1">
      <c r="B26" s="533"/>
      <c r="C26" s="598" t="s">
        <v>676</v>
      </c>
      <c r="D26" s="599"/>
      <c r="E26" s="600"/>
      <c r="I26" s="175">
        <f t="shared" si="0"/>
        <v>0</v>
      </c>
      <c r="J26" s="216"/>
      <c r="K26" s="217"/>
      <c r="L26" s="231"/>
      <c r="M26" s="217"/>
      <c r="N26" s="300" t="str">
        <f t="shared" si="1"/>
        <v/>
      </c>
      <c r="O26" s="201">
        <f t="shared" si="3"/>
        <v>0</v>
      </c>
      <c r="P26" s="216"/>
      <c r="Q26" s="217"/>
      <c r="R26" s="231"/>
      <c r="S26" s="217"/>
      <c r="T26" s="300" t="str">
        <f t="shared" si="2"/>
        <v/>
      </c>
      <c r="U26" s="202">
        <f t="shared" si="4"/>
        <v>0</v>
      </c>
    </row>
    <row r="27" spans="2:21" ht="17.25" thickBot="1">
      <c r="B27" s="534"/>
      <c r="C27" s="598"/>
      <c r="D27" s="599"/>
      <c r="E27" s="600"/>
    </row>
    <row r="32" spans="2:21" ht="16.5" customHeight="1"/>
  </sheetData>
  <mergeCells count="7">
    <mergeCell ref="B26:B27"/>
    <mergeCell ref="C26:E27"/>
    <mergeCell ref="B13:G18"/>
    <mergeCell ref="B12:G12"/>
    <mergeCell ref="I5:I6"/>
    <mergeCell ref="C20:E21"/>
    <mergeCell ref="C23:E24"/>
  </mergeCells>
  <phoneticPr fontId="2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'&lt;산정tool&gt;배출량,감축량'!$CV$8:$CV$20</xm:f>
          </x14:formula1>
          <xm:sqref>L8:L26 R8:R26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pageSetUpPr fitToPage="1"/>
  </sheetPr>
  <dimension ref="A1:L28"/>
  <sheetViews>
    <sheetView zoomScale="80" zoomScaleNormal="80" zoomScaleSheetLayoutView="85" workbookViewId="0">
      <selection activeCell="B1" sqref="B1"/>
    </sheetView>
  </sheetViews>
  <sheetFormatPr defaultColWidth="6.375" defaultRowHeight="16.5" zeroHeight="1"/>
  <cols>
    <col min="1" max="1" width="6.125" customWidth="1"/>
    <col min="2" max="2" width="16.625" customWidth="1"/>
    <col min="3" max="3" width="9" customWidth="1"/>
    <col min="4" max="4" width="44.625" customWidth="1"/>
    <col min="5" max="6" width="7.875" customWidth="1"/>
    <col min="7" max="7" width="0" style="305" hidden="1" customWidth="1"/>
    <col min="8" max="12" width="0" hidden="1" customWidth="1"/>
  </cols>
  <sheetData>
    <row r="1" spans="1:12" ht="21" thickTop="1" thickBot="1">
      <c r="A1" s="304" t="s">
        <v>63</v>
      </c>
      <c r="B1" s="306" t="s">
        <v>64</v>
      </c>
      <c r="C1" s="305"/>
      <c r="D1" s="305"/>
      <c r="E1" s="305"/>
      <c r="F1" s="305"/>
    </row>
    <row r="2" spans="1:12" ht="18" thickTop="1" thickBot="1">
      <c r="A2" s="305"/>
      <c r="B2" s="305"/>
      <c r="C2" s="305"/>
      <c r="D2" s="305"/>
      <c r="E2" s="305"/>
      <c r="F2" s="305"/>
    </row>
    <row r="3" spans="1:12">
      <c r="A3" s="305"/>
      <c r="B3" s="605" t="s">
        <v>65</v>
      </c>
      <c r="C3" s="607" t="s">
        <v>66</v>
      </c>
      <c r="D3" s="603" t="s">
        <v>67</v>
      </c>
      <c r="E3" s="603" t="s">
        <v>68</v>
      </c>
      <c r="F3" s="604"/>
    </row>
    <row r="4" spans="1:12" ht="26.25" customHeight="1">
      <c r="A4" s="305"/>
      <c r="B4" s="606"/>
      <c r="C4" s="608"/>
      <c r="D4" s="609"/>
      <c r="E4" s="7" t="s">
        <v>69</v>
      </c>
      <c r="F4" s="204" t="s">
        <v>70</v>
      </c>
      <c r="H4" s="3" t="s">
        <v>30</v>
      </c>
      <c r="I4" s="3" t="s">
        <v>31</v>
      </c>
      <c r="J4" s="3" t="s">
        <v>640</v>
      </c>
      <c r="K4" s="3">
        <v>1</v>
      </c>
      <c r="L4" s="3">
        <v>2</v>
      </c>
    </row>
    <row r="5" spans="1:12" ht="36" customHeight="1">
      <c r="A5" s="305"/>
      <c r="B5" s="610" t="s">
        <v>74</v>
      </c>
      <c r="C5" s="338">
        <v>1</v>
      </c>
      <c r="D5" s="339" t="s">
        <v>721</v>
      </c>
      <c r="E5" s="8" t="s">
        <v>0</v>
      </c>
      <c r="F5" s="205" t="s">
        <v>0</v>
      </c>
      <c r="H5" s="2" t="s">
        <v>29</v>
      </c>
      <c r="I5" s="2" t="str">
        <f>IF(COUNTIF(K5:L5,TRUE)&gt;1,"중복선택",IF(COUNTIF(K5:L5,TRUE)=0,"미선택",IF(COUNTIF(L5,TRUE)=1,"중복선택","선택완료")))</f>
        <v>미선택</v>
      </c>
      <c r="J5" s="2" t="str">
        <f>CONCATENATE(IF($K5,1,""),IF($L5,2,""))</f>
        <v/>
      </c>
      <c r="K5" s="4" t="b">
        <v>0</v>
      </c>
      <c r="L5" s="4" t="b">
        <v>0</v>
      </c>
    </row>
    <row r="6" spans="1:12" ht="36" customHeight="1">
      <c r="A6" s="305"/>
      <c r="B6" s="610"/>
      <c r="C6" s="338">
        <v>2</v>
      </c>
      <c r="D6" s="339" t="s">
        <v>722</v>
      </c>
      <c r="E6" s="8" t="s">
        <v>0</v>
      </c>
      <c r="F6" s="205" t="s">
        <v>0</v>
      </c>
      <c r="H6" s="2" t="s">
        <v>33</v>
      </c>
      <c r="I6" s="2" t="str">
        <f t="shared" ref="I6:I13" si="0">IF(COUNTIF(K6:L6,TRUE)&gt;1,"중복선택",IF(COUNTIF(K6:L6,TRUE)=0,"미선택",IF(COUNTIF(L6,TRUE)=1,"중복선택","선택완료")))</f>
        <v>미선택</v>
      </c>
      <c r="J6" s="2" t="str">
        <f t="shared" ref="J6:J22" si="1">CONCATENATE(IF($K6,1,""),IF($L6,2,""))</f>
        <v/>
      </c>
      <c r="K6" s="4" t="b">
        <v>0</v>
      </c>
      <c r="L6" s="4" t="b">
        <v>0</v>
      </c>
    </row>
    <row r="7" spans="1:12" ht="36" customHeight="1">
      <c r="A7" s="305"/>
      <c r="B7" s="610"/>
      <c r="C7" s="338">
        <v>3</v>
      </c>
      <c r="D7" s="339" t="s">
        <v>723</v>
      </c>
      <c r="E7" s="8" t="s">
        <v>0</v>
      </c>
      <c r="F7" s="205" t="s">
        <v>0</v>
      </c>
      <c r="H7" s="2" t="s">
        <v>34</v>
      </c>
      <c r="I7" s="2" t="str">
        <f t="shared" si="0"/>
        <v>미선택</v>
      </c>
      <c r="J7" s="2" t="str">
        <f t="shared" si="1"/>
        <v/>
      </c>
      <c r="K7" s="4" t="b">
        <v>0</v>
      </c>
      <c r="L7" s="4" t="b">
        <v>0</v>
      </c>
    </row>
    <row r="8" spans="1:12" ht="36" customHeight="1">
      <c r="A8" s="305"/>
      <c r="B8" s="610"/>
      <c r="C8" s="338">
        <v>4</v>
      </c>
      <c r="D8" s="340" t="s">
        <v>71</v>
      </c>
      <c r="E8" s="8" t="s">
        <v>0</v>
      </c>
      <c r="F8" s="205" t="s">
        <v>0</v>
      </c>
      <c r="H8" s="2" t="s">
        <v>36</v>
      </c>
      <c r="I8" s="2" t="str">
        <f t="shared" si="0"/>
        <v>미선택</v>
      </c>
      <c r="J8" s="2" t="str">
        <f t="shared" si="1"/>
        <v/>
      </c>
      <c r="K8" s="4" t="b">
        <v>0</v>
      </c>
      <c r="L8" s="4" t="b">
        <v>0</v>
      </c>
    </row>
    <row r="9" spans="1:12" ht="36" customHeight="1">
      <c r="A9" s="305"/>
      <c r="B9" s="610"/>
      <c r="C9" s="338">
        <v>5</v>
      </c>
      <c r="D9" s="340" t="s">
        <v>72</v>
      </c>
      <c r="E9" s="8" t="s">
        <v>0</v>
      </c>
      <c r="F9" s="205" t="s">
        <v>0</v>
      </c>
      <c r="H9" s="2" t="s">
        <v>37</v>
      </c>
      <c r="I9" s="2" t="str">
        <f t="shared" si="0"/>
        <v>미선택</v>
      </c>
      <c r="J9" s="2" t="str">
        <f t="shared" si="1"/>
        <v/>
      </c>
      <c r="K9" s="4" t="b">
        <v>0</v>
      </c>
      <c r="L9" s="4" t="b">
        <v>0</v>
      </c>
    </row>
    <row r="10" spans="1:12" ht="36" customHeight="1">
      <c r="A10" s="305"/>
      <c r="B10" s="610"/>
      <c r="C10" s="338">
        <v>6</v>
      </c>
      <c r="D10" s="340" t="s">
        <v>73</v>
      </c>
      <c r="E10" s="8" t="s">
        <v>0</v>
      </c>
      <c r="F10" s="205" t="s">
        <v>0</v>
      </c>
      <c r="H10" s="2" t="s">
        <v>38</v>
      </c>
      <c r="I10" s="2" t="str">
        <f t="shared" si="0"/>
        <v>미선택</v>
      </c>
      <c r="J10" s="2" t="str">
        <f t="shared" si="1"/>
        <v/>
      </c>
      <c r="K10" s="4" t="b">
        <v>0</v>
      </c>
      <c r="L10" s="4" t="b">
        <v>0</v>
      </c>
    </row>
    <row r="11" spans="1:12" ht="36" customHeight="1">
      <c r="A11" s="305"/>
      <c r="B11" s="610"/>
      <c r="C11" s="338">
        <v>7</v>
      </c>
      <c r="D11" s="340" t="s">
        <v>724</v>
      </c>
      <c r="E11" s="8" t="s">
        <v>0</v>
      </c>
      <c r="F11" s="205" t="s">
        <v>0</v>
      </c>
      <c r="H11" s="2" t="s">
        <v>39</v>
      </c>
      <c r="I11" s="2" t="str">
        <f>IF(COUNTIF(K11:L11,TRUE)&gt;1,"중복선택",IF(COUNTIF(K11:L11,TRUE)=0,"미선택","선택완료"))</f>
        <v>미선택</v>
      </c>
      <c r="J11" s="2" t="str">
        <f t="shared" si="1"/>
        <v/>
      </c>
      <c r="K11" s="4" t="b">
        <v>0</v>
      </c>
      <c r="L11" s="4" t="b">
        <v>0</v>
      </c>
    </row>
    <row r="12" spans="1:12" ht="36" customHeight="1">
      <c r="A12" s="305"/>
      <c r="B12" s="610"/>
      <c r="C12" s="338">
        <v>8</v>
      </c>
      <c r="D12" s="340" t="s">
        <v>725</v>
      </c>
      <c r="E12" s="8" t="s">
        <v>0</v>
      </c>
      <c r="F12" s="205" t="s">
        <v>0</v>
      </c>
      <c r="H12" s="2" t="s">
        <v>40</v>
      </c>
      <c r="I12" s="2" t="str">
        <f t="shared" si="0"/>
        <v>미선택</v>
      </c>
      <c r="J12" s="2" t="str">
        <f t="shared" si="1"/>
        <v/>
      </c>
      <c r="K12" s="4" t="b">
        <v>0</v>
      </c>
      <c r="L12" s="4" t="b">
        <v>0</v>
      </c>
    </row>
    <row r="13" spans="1:12" ht="36" customHeight="1">
      <c r="A13" s="305"/>
      <c r="B13" s="610"/>
      <c r="C13" s="338">
        <v>9</v>
      </c>
      <c r="D13" s="340" t="s">
        <v>726</v>
      </c>
      <c r="E13" s="8" t="s">
        <v>0</v>
      </c>
      <c r="F13" s="205" t="s">
        <v>0</v>
      </c>
      <c r="H13" s="2" t="s">
        <v>76</v>
      </c>
      <c r="I13" s="2" t="str">
        <f t="shared" si="0"/>
        <v>미선택</v>
      </c>
      <c r="J13" s="2" t="str">
        <f t="shared" si="1"/>
        <v/>
      </c>
      <c r="K13" s="4" t="b">
        <v>0</v>
      </c>
      <c r="L13" s="4" t="b">
        <v>0</v>
      </c>
    </row>
    <row r="14" spans="1:12" ht="36" customHeight="1">
      <c r="A14" s="305"/>
      <c r="B14" s="610"/>
      <c r="C14" s="338">
        <v>10</v>
      </c>
      <c r="D14" s="340" t="s">
        <v>815</v>
      </c>
      <c r="E14" s="8" t="s">
        <v>0</v>
      </c>
      <c r="F14" s="205" t="s">
        <v>0</v>
      </c>
      <c r="H14" s="2" t="s">
        <v>77</v>
      </c>
      <c r="I14" s="2" t="str">
        <f t="shared" ref="I14:I21" si="2">IF(COUNTIF(K14:L14,TRUE)&gt;1,"중복선택",IF(COUNTIF(K14:L14,TRUE)=0,"미선택",IF(COUNTIF(L14,TRUE)=1,"중복선택","선택완료")))</f>
        <v>미선택</v>
      </c>
      <c r="J14" s="2" t="str">
        <f t="shared" si="1"/>
        <v/>
      </c>
      <c r="K14" s="4" t="b">
        <v>0</v>
      </c>
      <c r="L14" s="4" t="b">
        <v>0</v>
      </c>
    </row>
    <row r="15" spans="1:12" ht="36" customHeight="1">
      <c r="A15" s="305"/>
      <c r="B15" s="610" t="s">
        <v>75</v>
      </c>
      <c r="C15" s="338">
        <v>11</v>
      </c>
      <c r="D15" s="340" t="s">
        <v>823</v>
      </c>
      <c r="E15" s="8" t="s">
        <v>0</v>
      </c>
      <c r="F15" s="205" t="s">
        <v>0</v>
      </c>
      <c r="H15" s="2" t="s">
        <v>78</v>
      </c>
      <c r="I15" s="2" t="str">
        <f t="shared" si="2"/>
        <v>미선택</v>
      </c>
      <c r="J15" s="2" t="str">
        <f t="shared" si="1"/>
        <v/>
      </c>
      <c r="K15" s="4" t="b">
        <v>0</v>
      </c>
      <c r="L15" s="4" t="b">
        <v>0</v>
      </c>
    </row>
    <row r="16" spans="1:12" ht="36" customHeight="1">
      <c r="A16" s="305"/>
      <c r="B16" s="610"/>
      <c r="C16" s="338">
        <v>12</v>
      </c>
      <c r="D16" s="340" t="s">
        <v>727</v>
      </c>
      <c r="E16" s="8" t="s">
        <v>0</v>
      </c>
      <c r="F16" s="205" t="s">
        <v>0</v>
      </c>
      <c r="H16" s="2" t="s">
        <v>79</v>
      </c>
      <c r="I16" s="2" t="str">
        <f t="shared" si="2"/>
        <v>미선택</v>
      </c>
      <c r="J16" s="2" t="str">
        <f t="shared" si="1"/>
        <v/>
      </c>
      <c r="K16" s="4" t="b">
        <v>0</v>
      </c>
      <c r="L16" s="4" t="b">
        <v>0</v>
      </c>
    </row>
    <row r="17" spans="1:12" ht="36" customHeight="1">
      <c r="A17" s="305"/>
      <c r="B17" s="610"/>
      <c r="C17" s="338">
        <v>13</v>
      </c>
      <c r="D17" s="340" t="s">
        <v>728</v>
      </c>
      <c r="E17" s="8" t="s">
        <v>0</v>
      </c>
      <c r="F17" s="205" t="s">
        <v>0</v>
      </c>
      <c r="H17" s="2" t="s">
        <v>80</v>
      </c>
      <c r="I17" s="2" t="str">
        <f t="shared" si="2"/>
        <v>미선택</v>
      </c>
      <c r="J17" s="2" t="str">
        <f t="shared" si="1"/>
        <v/>
      </c>
      <c r="K17" s="4" t="b">
        <v>0</v>
      </c>
      <c r="L17" s="4" t="b">
        <v>0</v>
      </c>
    </row>
    <row r="18" spans="1:12" ht="36" customHeight="1">
      <c r="A18" s="305"/>
      <c r="B18" s="610"/>
      <c r="C18" s="338">
        <v>14</v>
      </c>
      <c r="D18" s="340" t="s">
        <v>729</v>
      </c>
      <c r="E18" s="8" t="s">
        <v>0</v>
      </c>
      <c r="F18" s="205" t="s">
        <v>0</v>
      </c>
      <c r="H18" s="2" t="s">
        <v>81</v>
      </c>
      <c r="I18" s="2" t="str">
        <f t="shared" si="2"/>
        <v>미선택</v>
      </c>
      <c r="J18" s="2" t="str">
        <f t="shared" si="1"/>
        <v/>
      </c>
      <c r="K18" s="4" t="b">
        <v>0</v>
      </c>
      <c r="L18" s="4" t="b">
        <v>0</v>
      </c>
    </row>
    <row r="19" spans="1:12" ht="36" customHeight="1">
      <c r="A19" s="305"/>
      <c r="B19" s="610"/>
      <c r="C19" s="338">
        <v>15</v>
      </c>
      <c r="D19" s="340" t="s">
        <v>730</v>
      </c>
      <c r="E19" s="8" t="s">
        <v>0</v>
      </c>
      <c r="F19" s="205" t="s">
        <v>0</v>
      </c>
      <c r="H19" s="2" t="s">
        <v>82</v>
      </c>
      <c r="I19" s="2" t="str">
        <f t="shared" si="2"/>
        <v>미선택</v>
      </c>
      <c r="J19" s="2" t="str">
        <f t="shared" si="1"/>
        <v/>
      </c>
      <c r="K19" s="4" t="b">
        <v>0</v>
      </c>
      <c r="L19" s="4" t="b">
        <v>0</v>
      </c>
    </row>
    <row r="20" spans="1:12" ht="36" customHeight="1">
      <c r="A20" s="305"/>
      <c r="B20" s="610"/>
      <c r="C20" s="338">
        <v>16</v>
      </c>
      <c r="D20" s="340" t="s">
        <v>731</v>
      </c>
      <c r="E20" s="8" t="s">
        <v>0</v>
      </c>
      <c r="F20" s="205" t="s">
        <v>0</v>
      </c>
      <c r="H20" s="2" t="s">
        <v>83</v>
      </c>
      <c r="I20" s="2" t="str">
        <f t="shared" si="2"/>
        <v>미선택</v>
      </c>
      <c r="J20" s="2" t="str">
        <f t="shared" si="1"/>
        <v/>
      </c>
      <c r="K20" s="4" t="b">
        <v>0</v>
      </c>
      <c r="L20" s="4" t="b">
        <v>0</v>
      </c>
    </row>
    <row r="21" spans="1:12" ht="36" customHeight="1">
      <c r="A21" s="305"/>
      <c r="B21" s="610"/>
      <c r="C21" s="338">
        <v>17</v>
      </c>
      <c r="D21" s="340" t="s">
        <v>720</v>
      </c>
      <c r="E21" s="8" t="s">
        <v>0</v>
      </c>
      <c r="F21" s="205" t="s">
        <v>0</v>
      </c>
      <c r="H21" s="2" t="s">
        <v>816</v>
      </c>
      <c r="I21" s="2" t="str">
        <f t="shared" si="2"/>
        <v>미선택</v>
      </c>
      <c r="J21" s="2" t="str">
        <f t="shared" si="1"/>
        <v/>
      </c>
      <c r="K21" s="4" t="b">
        <v>0</v>
      </c>
      <c r="L21" s="4" t="b">
        <v>0</v>
      </c>
    </row>
    <row r="22" spans="1:12" ht="36" customHeight="1" thickBot="1">
      <c r="A22" s="305"/>
      <c r="B22" s="611"/>
      <c r="C22" s="341">
        <v>18</v>
      </c>
      <c r="D22" s="342" t="s">
        <v>817</v>
      </c>
      <c r="E22" s="9" t="s">
        <v>0</v>
      </c>
      <c r="F22" s="206" t="s">
        <v>0</v>
      </c>
      <c r="H22" s="2" t="s">
        <v>818</v>
      </c>
      <c r="I22" s="2" t="str">
        <f t="shared" ref="I22" si="3">IF(COUNTIF(K22:L22,TRUE)&gt;1,"중복선택",IF(COUNTIF(K22:L22,TRUE)=0,"미선택",IF(COUNTIF(L22,TRUE)=1,"중복선택","선택완료")))</f>
        <v>미선택</v>
      </c>
      <c r="J22" s="2" t="str">
        <f t="shared" si="1"/>
        <v/>
      </c>
      <c r="K22" s="4" t="b">
        <v>0</v>
      </c>
      <c r="L22" s="4" t="b">
        <v>0</v>
      </c>
    </row>
    <row r="23" spans="1:12" ht="17.25">
      <c r="A23" s="305"/>
      <c r="B23" s="307" t="s">
        <v>819</v>
      </c>
      <c r="C23" s="322"/>
      <c r="D23" s="323"/>
      <c r="E23" s="324"/>
      <c r="F23" s="324"/>
      <c r="H23" s="1"/>
      <c r="I23" s="1"/>
      <c r="J23" s="1"/>
    </row>
    <row r="24" spans="1:12" ht="75.599999999999994" customHeight="1">
      <c r="A24" s="305"/>
      <c r="B24" s="601" t="s">
        <v>811</v>
      </c>
      <c r="C24" s="602"/>
      <c r="D24" s="602"/>
      <c r="E24" s="602"/>
      <c r="F24" s="602"/>
      <c r="H24" s="1"/>
      <c r="I24" s="1"/>
      <c r="J24" s="1"/>
    </row>
    <row r="25" spans="1:12">
      <c r="A25" s="305"/>
      <c r="B25" s="305"/>
      <c r="C25" s="305"/>
      <c r="D25" s="305"/>
      <c r="E25" s="305"/>
      <c r="F25" s="305"/>
    </row>
    <row r="26" spans="1:12">
      <c r="A26" s="305"/>
      <c r="B26" s="305"/>
      <c r="C26" s="305"/>
      <c r="D26" s="305"/>
      <c r="E26" s="305"/>
      <c r="F26" s="305"/>
    </row>
    <row r="27" spans="1:12">
      <c r="A27" s="305"/>
      <c r="B27" s="305"/>
      <c r="C27" s="305"/>
      <c r="D27" s="305"/>
      <c r="E27" s="305"/>
      <c r="F27" s="305"/>
    </row>
    <row r="28" spans="1:12">
      <c r="A28" s="305"/>
      <c r="B28" s="305"/>
      <c r="C28" s="305"/>
      <c r="D28" s="305"/>
      <c r="E28" s="305"/>
      <c r="F28" s="305"/>
    </row>
  </sheetData>
  <mergeCells count="7">
    <mergeCell ref="B24:F24"/>
    <mergeCell ref="E3:F3"/>
    <mergeCell ref="B3:B4"/>
    <mergeCell ref="C3:C4"/>
    <mergeCell ref="D3:D4"/>
    <mergeCell ref="B5:B14"/>
    <mergeCell ref="B15:B22"/>
  </mergeCells>
  <phoneticPr fontId="2" type="noConversion"/>
  <conditionalFormatting sqref="E5:F16 E17 E18:F21 E23:F23">
    <cfRule type="expression" dxfId="1" priority="1">
      <formula>$I5="중복선택"</formula>
    </cfRule>
  </conditionalFormatting>
  <conditionalFormatting sqref="K5:L12">
    <cfRule type="expression" dxfId="0" priority="21">
      <formula>K5</formula>
    </cfRule>
  </conditionalFormatting>
  <pageMargins left="0.7" right="0.7" top="0.75" bottom="0.75" header="0.3" footer="0.3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9525</xdr:rowOff>
                  </from>
                  <to>
                    <xdr:col>4</xdr:col>
                    <xdr:colOff>466725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Fill="0" autoLine="0" autoPict="0">
                <anchor moveWithCells="1">
                  <from>
                    <xdr:col>5</xdr:col>
                    <xdr:colOff>171450</xdr:colOff>
                    <xdr:row>5</xdr:row>
                    <xdr:rowOff>9525</xdr:rowOff>
                  </from>
                  <to>
                    <xdr:col>5</xdr:col>
                    <xdr:colOff>438150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9525</xdr:rowOff>
                  </from>
                  <to>
                    <xdr:col>4</xdr:col>
                    <xdr:colOff>466725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Fill="0" autoLine="0" autoPict="0">
                <anchor moveWithCells="1">
                  <from>
                    <xdr:col>5</xdr:col>
                    <xdr:colOff>171450</xdr:colOff>
                    <xdr:row>6</xdr:row>
                    <xdr:rowOff>9525</xdr:rowOff>
                  </from>
                  <to>
                    <xdr:col>5</xdr:col>
                    <xdr:colOff>438150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9525</xdr:rowOff>
                  </from>
                  <to>
                    <xdr:col>4</xdr:col>
                    <xdr:colOff>466725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Fill="0" autoLine="0" autoPict="0">
                <anchor moveWithCells="1">
                  <from>
                    <xdr:col>5</xdr:col>
                    <xdr:colOff>171450</xdr:colOff>
                    <xdr:row>7</xdr:row>
                    <xdr:rowOff>19050</xdr:rowOff>
                  </from>
                  <to>
                    <xdr:col>5</xdr:col>
                    <xdr:colOff>438150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Fill="0" autoLine="0" autoPict="0">
                <anchor moveWithCells="1">
                  <from>
                    <xdr:col>4</xdr:col>
                    <xdr:colOff>200025</xdr:colOff>
                    <xdr:row>8</xdr:row>
                    <xdr:rowOff>9525</xdr:rowOff>
                  </from>
                  <to>
                    <xdr:col>4</xdr:col>
                    <xdr:colOff>466725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Fill="0" autoLine="0" autoPict="0">
                <anchor moveWithCells="1">
                  <from>
                    <xdr:col>5</xdr:col>
                    <xdr:colOff>171450</xdr:colOff>
                    <xdr:row>8</xdr:row>
                    <xdr:rowOff>9525</xdr:rowOff>
                  </from>
                  <to>
                    <xdr:col>5</xdr:col>
                    <xdr:colOff>438150</xdr:colOff>
                    <xdr:row>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2" name="Check Box 13">
              <controlPr defaultSize="0" autoFill="0" autoLine="0" autoPict="0">
                <anchor moveWithCells="1">
                  <from>
                    <xdr:col>4</xdr:col>
                    <xdr:colOff>200025</xdr:colOff>
                    <xdr:row>9</xdr:row>
                    <xdr:rowOff>9525</xdr:rowOff>
                  </from>
                  <to>
                    <xdr:col>4</xdr:col>
                    <xdr:colOff>466725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3" name="Check Box 14">
              <controlPr defaultSize="0" autoFill="0" autoLine="0" autoPict="0">
                <anchor moveWithCells="1">
                  <from>
                    <xdr:col>5</xdr:col>
                    <xdr:colOff>171450</xdr:colOff>
                    <xdr:row>9</xdr:row>
                    <xdr:rowOff>9525</xdr:rowOff>
                  </from>
                  <to>
                    <xdr:col>5</xdr:col>
                    <xdr:colOff>438150</xdr:colOff>
                    <xdr:row>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4" name="Check Box 15">
              <controlPr defaultSize="0" autoFill="0" autoLine="0" autoPict="0">
                <anchor moveWithCells="1">
                  <from>
                    <xdr:col>4</xdr:col>
                    <xdr:colOff>190500</xdr:colOff>
                    <xdr:row>10</xdr:row>
                    <xdr:rowOff>9525</xdr:rowOff>
                  </from>
                  <to>
                    <xdr:col>4</xdr:col>
                    <xdr:colOff>457200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5" name="Check Box 16">
              <controlPr defaultSize="0" autoFill="0" autoLine="0" autoPict="0">
                <anchor moveWithCells="1">
                  <from>
                    <xdr:col>5</xdr:col>
                    <xdr:colOff>171450</xdr:colOff>
                    <xdr:row>10</xdr:row>
                    <xdr:rowOff>9525</xdr:rowOff>
                  </from>
                  <to>
                    <xdr:col>5</xdr:col>
                    <xdr:colOff>438150</xdr:colOff>
                    <xdr:row>10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6" name="Check Box 17">
              <controlPr defaultSize="0" autoFill="0" autoLine="0" autoPict="0">
                <anchor moveWithCells="1">
                  <from>
                    <xdr:col>4</xdr:col>
                    <xdr:colOff>200025</xdr:colOff>
                    <xdr:row>11</xdr:row>
                    <xdr:rowOff>9525</xdr:rowOff>
                  </from>
                  <to>
                    <xdr:col>4</xdr:col>
                    <xdr:colOff>466725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7" name="Check Box 18">
              <controlPr defaultSize="0" autoFill="0" autoLine="0" autoPict="0">
                <anchor moveWithCells="1">
                  <from>
                    <xdr:col>5</xdr:col>
                    <xdr:colOff>171450</xdr:colOff>
                    <xdr:row>11</xdr:row>
                    <xdr:rowOff>9525</xdr:rowOff>
                  </from>
                  <to>
                    <xdr:col>5</xdr:col>
                    <xdr:colOff>438150</xdr:colOff>
                    <xdr:row>11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8" name="Check Box 19">
              <controlPr defaultSize="0" autoFill="0" autoLine="0" autoPict="0">
                <anchor moveWithCells="1">
                  <from>
                    <xdr:col>4</xdr:col>
                    <xdr:colOff>200025</xdr:colOff>
                    <xdr:row>12</xdr:row>
                    <xdr:rowOff>9525</xdr:rowOff>
                  </from>
                  <to>
                    <xdr:col>4</xdr:col>
                    <xdr:colOff>466725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19" name="Check Box 20">
              <controlPr defaultSize="0" autoFill="0" autoLine="0" autoPict="0">
                <anchor moveWithCells="1">
                  <from>
                    <xdr:col>5</xdr:col>
                    <xdr:colOff>171450</xdr:colOff>
                    <xdr:row>12</xdr:row>
                    <xdr:rowOff>9525</xdr:rowOff>
                  </from>
                  <to>
                    <xdr:col>5</xdr:col>
                    <xdr:colOff>438150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0" name="Check Box 21">
              <controlPr defaultSize="0" autoFill="0" autoLine="0" autoPict="0">
                <anchor moveWithCells="1">
                  <from>
                    <xdr:col>4</xdr:col>
                    <xdr:colOff>200025</xdr:colOff>
                    <xdr:row>14</xdr:row>
                    <xdr:rowOff>9525</xdr:rowOff>
                  </from>
                  <to>
                    <xdr:col>4</xdr:col>
                    <xdr:colOff>466725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1" name="Check Box 22">
              <controlPr defaultSize="0" autoFill="0" autoLine="0" autoPict="0">
                <anchor moveWithCells="1">
                  <from>
                    <xdr:col>5</xdr:col>
                    <xdr:colOff>171450</xdr:colOff>
                    <xdr:row>14</xdr:row>
                    <xdr:rowOff>9525</xdr:rowOff>
                  </from>
                  <to>
                    <xdr:col>5</xdr:col>
                    <xdr:colOff>438150</xdr:colOff>
                    <xdr:row>14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2" name="Check Box 23">
              <controlPr defaultSize="0" autoFill="0" autoLine="0" autoPict="0">
                <anchor moveWithCells="1">
                  <from>
                    <xdr:col>4</xdr:col>
                    <xdr:colOff>200025</xdr:colOff>
                    <xdr:row>15</xdr:row>
                    <xdr:rowOff>9525</xdr:rowOff>
                  </from>
                  <to>
                    <xdr:col>4</xdr:col>
                    <xdr:colOff>466725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3" name="Check Box 24">
              <controlPr defaultSize="0" autoFill="0" autoLine="0" autoPict="0">
                <anchor moveWithCells="1">
                  <from>
                    <xdr:col>5</xdr:col>
                    <xdr:colOff>171450</xdr:colOff>
                    <xdr:row>15</xdr:row>
                    <xdr:rowOff>9525</xdr:rowOff>
                  </from>
                  <to>
                    <xdr:col>5</xdr:col>
                    <xdr:colOff>438150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4" name="Check Box 25">
              <controlPr defaultSize="0" autoFill="0" autoLine="0" autoPict="0">
                <anchor moveWithCells="1">
                  <from>
                    <xdr:col>4</xdr:col>
                    <xdr:colOff>200025</xdr:colOff>
                    <xdr:row>16</xdr:row>
                    <xdr:rowOff>9525</xdr:rowOff>
                  </from>
                  <to>
                    <xdr:col>4</xdr:col>
                    <xdr:colOff>466725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5" name="Check Box 26">
              <controlPr defaultSize="0" autoFill="0" autoLine="0" autoPict="0">
                <anchor moveWithCells="1">
                  <from>
                    <xdr:col>5</xdr:col>
                    <xdr:colOff>171450</xdr:colOff>
                    <xdr:row>16</xdr:row>
                    <xdr:rowOff>9525</xdr:rowOff>
                  </from>
                  <to>
                    <xdr:col>5</xdr:col>
                    <xdr:colOff>438150</xdr:colOff>
                    <xdr:row>16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6" name="Check Box 27">
              <controlPr defaultSize="0" autoFill="0" autoLine="0" autoPict="0">
                <anchor moveWithCells="1">
                  <from>
                    <xdr:col>4</xdr:col>
                    <xdr:colOff>200025</xdr:colOff>
                    <xdr:row>17</xdr:row>
                    <xdr:rowOff>9525</xdr:rowOff>
                  </from>
                  <to>
                    <xdr:col>4</xdr:col>
                    <xdr:colOff>466725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7" name="Check Box 28">
              <controlPr defaultSize="0" autoFill="0" autoLine="0" autoPict="0">
                <anchor moveWithCells="1">
                  <from>
                    <xdr:col>5</xdr:col>
                    <xdr:colOff>171450</xdr:colOff>
                    <xdr:row>17</xdr:row>
                    <xdr:rowOff>9525</xdr:rowOff>
                  </from>
                  <to>
                    <xdr:col>5</xdr:col>
                    <xdr:colOff>438150</xdr:colOff>
                    <xdr:row>17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28" name="Check Box 29">
              <controlPr defaultSize="0" autoFill="0" autoLine="0" autoPict="0">
                <anchor moveWithCells="1">
                  <from>
                    <xdr:col>4</xdr:col>
                    <xdr:colOff>200025</xdr:colOff>
                    <xdr:row>18</xdr:row>
                    <xdr:rowOff>9525</xdr:rowOff>
                  </from>
                  <to>
                    <xdr:col>4</xdr:col>
                    <xdr:colOff>466725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29" name="Check Box 30">
              <controlPr defaultSize="0" autoFill="0" autoLine="0" autoPict="0">
                <anchor moveWithCells="1">
                  <from>
                    <xdr:col>5</xdr:col>
                    <xdr:colOff>171450</xdr:colOff>
                    <xdr:row>18</xdr:row>
                    <xdr:rowOff>9525</xdr:rowOff>
                  </from>
                  <to>
                    <xdr:col>5</xdr:col>
                    <xdr:colOff>438150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0" name="Check Box 31">
              <controlPr defaultSize="0" autoFill="0" autoLine="0" autoPict="0">
                <anchor moveWithCells="1">
                  <from>
                    <xdr:col>4</xdr:col>
                    <xdr:colOff>200025</xdr:colOff>
                    <xdr:row>19</xdr:row>
                    <xdr:rowOff>9525</xdr:rowOff>
                  </from>
                  <to>
                    <xdr:col>4</xdr:col>
                    <xdr:colOff>466725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1" name="Check Box 32">
              <controlPr defaultSize="0" autoFill="0" autoLine="0" autoPict="0">
                <anchor moveWithCells="1">
                  <from>
                    <xdr:col>5</xdr:col>
                    <xdr:colOff>171450</xdr:colOff>
                    <xdr:row>19</xdr:row>
                    <xdr:rowOff>9525</xdr:rowOff>
                  </from>
                  <to>
                    <xdr:col>5</xdr:col>
                    <xdr:colOff>438150</xdr:colOff>
                    <xdr:row>19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2" name="Check Box 33">
              <controlPr defaultSize="0" autoFill="0" autoLine="0" autoPict="0">
                <anchor moveWithCells="1">
                  <from>
                    <xdr:col>4</xdr:col>
                    <xdr:colOff>200025</xdr:colOff>
                    <xdr:row>20</xdr:row>
                    <xdr:rowOff>9525</xdr:rowOff>
                  </from>
                  <to>
                    <xdr:col>4</xdr:col>
                    <xdr:colOff>466725</xdr:colOff>
                    <xdr:row>20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3" name="Check Box 34">
              <controlPr defaultSize="0" autoFill="0" autoLine="0" autoPict="0">
                <anchor moveWithCells="1">
                  <from>
                    <xdr:col>5</xdr:col>
                    <xdr:colOff>171450</xdr:colOff>
                    <xdr:row>20</xdr:row>
                    <xdr:rowOff>9525</xdr:rowOff>
                  </from>
                  <to>
                    <xdr:col>5</xdr:col>
                    <xdr:colOff>438150</xdr:colOff>
                    <xdr:row>20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34" name="Check Box 3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28575</xdr:rowOff>
                  </from>
                  <to>
                    <xdr:col>4</xdr:col>
                    <xdr:colOff>466725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35" name="Check Box 38">
              <controlPr defaultSize="0" autoFill="0" autoLine="0" autoPict="0">
                <anchor moveWithCells="1">
                  <from>
                    <xdr:col>5</xdr:col>
                    <xdr:colOff>161925</xdr:colOff>
                    <xdr:row>4</xdr:row>
                    <xdr:rowOff>9525</xdr:rowOff>
                  </from>
                  <to>
                    <xdr:col>5</xdr:col>
                    <xdr:colOff>428625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36" name="Check Box 40">
              <controlPr defaultSize="0" autoFill="0" autoLine="0" autoPict="0">
                <anchor moveWithCells="1">
                  <from>
                    <xdr:col>4</xdr:col>
                    <xdr:colOff>200025</xdr:colOff>
                    <xdr:row>13</xdr:row>
                    <xdr:rowOff>9525</xdr:rowOff>
                  </from>
                  <to>
                    <xdr:col>4</xdr:col>
                    <xdr:colOff>466725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37" name="Check Box 41">
              <controlPr defaultSize="0" autoFill="0" autoLine="0" autoPict="0">
                <anchor moveWithCells="1">
                  <from>
                    <xdr:col>5</xdr:col>
                    <xdr:colOff>171450</xdr:colOff>
                    <xdr:row>13</xdr:row>
                    <xdr:rowOff>9525</xdr:rowOff>
                  </from>
                  <to>
                    <xdr:col>5</xdr:col>
                    <xdr:colOff>438150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38" name="Check Box 42">
              <controlPr defaultSize="0" autoFill="0" autoLine="0" autoPict="0">
                <anchor moveWithCells="1">
                  <from>
                    <xdr:col>4</xdr:col>
                    <xdr:colOff>200025</xdr:colOff>
                    <xdr:row>21</xdr:row>
                    <xdr:rowOff>9525</xdr:rowOff>
                  </from>
                  <to>
                    <xdr:col>4</xdr:col>
                    <xdr:colOff>466725</xdr:colOff>
                    <xdr:row>21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39" name="Check Box 43">
              <controlPr defaultSize="0" autoFill="0" autoLine="0" autoPict="0">
                <anchor moveWithCells="1">
                  <from>
                    <xdr:col>5</xdr:col>
                    <xdr:colOff>171450</xdr:colOff>
                    <xdr:row>21</xdr:row>
                    <xdr:rowOff>9525</xdr:rowOff>
                  </from>
                  <to>
                    <xdr:col>5</xdr:col>
                    <xdr:colOff>438150</xdr:colOff>
                    <xdr:row>21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31</vt:i4>
      </vt:variant>
    </vt:vector>
  </HeadingPairs>
  <TitlesOfParts>
    <vt:vector size="38" baseType="lpstr">
      <vt:lpstr>작성방법</vt:lpstr>
      <vt:lpstr>설비 단위 계획서</vt:lpstr>
      <vt:lpstr>라. 신청 설비 명세</vt:lpstr>
      <vt:lpstr>&lt;산정tool&gt;보조금</vt:lpstr>
      <vt:lpstr>&lt;산정tool&gt;배출량,감축량</vt:lpstr>
      <vt:lpstr>&lt;산정tool&gt;투자회수기간</vt:lpstr>
      <vt:lpstr>바. 첨부서류</vt:lpstr>
      <vt:lpstr>EF_Combustion_ALL</vt:lpstr>
      <vt:lpstr>EF_Combustion_mobile</vt:lpstr>
      <vt:lpstr>EF_Combustion1</vt:lpstr>
      <vt:lpstr>EF_Combustion2</vt:lpstr>
      <vt:lpstr>EF_Indirect</vt:lpstr>
      <vt:lpstr>'라. 신청 설비 명세'!Print_Area</vt:lpstr>
      <vt:lpstr>'바. 첨부서류'!Print_Area</vt:lpstr>
      <vt:lpstr>'설비 단위 계획서'!Print_Area</vt:lpstr>
      <vt:lpstr>작성방법!Print_Area</vt:lpstr>
      <vt:lpstr>간접배출</vt:lpstr>
      <vt:lpstr>고체</vt:lpstr>
      <vt:lpstr>고체연료</vt:lpstr>
      <vt:lpstr>고체연료연소</vt:lpstr>
      <vt:lpstr>기업규모</vt:lpstr>
      <vt:lpstr>기체</vt:lpstr>
      <vt:lpstr>기체연료</vt:lpstr>
      <vt:lpstr>기체연료연소</vt:lpstr>
      <vt:lpstr>단위환산</vt:lpstr>
      <vt:lpstr>배출권가격</vt:lpstr>
      <vt:lpstr>액체</vt:lpstr>
      <vt:lpstr>액체연료</vt:lpstr>
      <vt:lpstr>액체연료연소</vt:lpstr>
      <vt:lpstr>업종분류</vt:lpstr>
      <vt:lpstr>열</vt:lpstr>
      <vt:lpstr>이동연소</vt:lpstr>
      <vt:lpstr>적용업종</vt:lpstr>
      <vt:lpstr>전력</vt:lpstr>
      <vt:lpstr>지원비율</vt:lpstr>
      <vt:lpstr>'&lt;산정tool&gt;배출량,감축량'!참고1_감축량</vt:lpstr>
      <vt:lpstr>참고2_투자회수</vt:lpstr>
      <vt:lpstr>참고3_보조금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RMS</cp:lastModifiedBy>
  <cp:lastPrinted>2022-01-07T03:57:30Z</cp:lastPrinted>
  <dcterms:created xsi:type="dcterms:W3CDTF">2022-01-03T05:13:48Z</dcterms:created>
  <dcterms:modified xsi:type="dcterms:W3CDTF">2025-12-29T06:35:39Z</dcterms:modified>
</cp:coreProperties>
</file>